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helft/Library/Mobile Documents/com~apple~CloudDocs/3A/Dossiers/Modulation prix de l'eau/"/>
    </mc:Choice>
  </mc:AlternateContent>
  <xr:revisionPtr revIDLastSave="0" documentId="8_{22059642-B851-7744-AFB1-AAE843BE400F}" xr6:coauthVersionLast="47" xr6:coauthVersionMax="47" xr10:uidLastSave="{00000000-0000-0000-0000-000000000000}"/>
  <bookViews>
    <workbookView xWindow="-480" yWindow="4860" windowWidth="19660" windowHeight="17620" activeTab="2" xr2:uid="{2D3397A2-3321-9E47-83BB-AD9A39DE4B65}"/>
    <workbookView xWindow="9580" yWindow="4040" windowWidth="25640" windowHeight="18400" xr2:uid="{047EA4DB-DAA9-BB4C-9E03-61DA1E3E5B6C}"/>
  </bookViews>
  <sheets>
    <sheet name="Tableau de bord" sheetId="12" r:id="rId1"/>
    <sheet name="2022-1" sheetId="10" r:id="rId2"/>
    <sheet name="2022-2" sheetId="13" r:id="rId3"/>
    <sheet name="2022-1 modulation" sheetId="15" r:id="rId4"/>
    <sheet name="2022-2 modulation" sheetId="16" r:id="rId5"/>
  </sheets>
  <definedNames>
    <definedName name="Consommation_2022_1">'Tableau de bord'!$C$5</definedName>
    <definedName name="Consommation_2022_2">'Tableau de bord'!$C$6</definedName>
    <definedName name="Copropriété">'Tableau de bord'!$C$3</definedName>
    <definedName name="NbUH">'Tableau de bord'!$C$4</definedName>
    <definedName name="SHON">'Tableau de bord'!#REF!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6" l="1"/>
  <c r="H24" i="16" s="1"/>
  <c r="G5" i="15"/>
  <c r="H13" i="15" s="1"/>
  <c r="I15" i="15"/>
  <c r="H23" i="15" l="1"/>
  <c r="L23" i="15" s="1"/>
  <c r="N23" i="15" s="1"/>
  <c r="H14" i="15"/>
  <c r="H15" i="15"/>
  <c r="H24" i="15"/>
  <c r="H25" i="15"/>
  <c r="L25" i="15" s="1"/>
  <c r="N25" i="15" s="1"/>
  <c r="H25" i="16"/>
  <c r="H13" i="16"/>
  <c r="H23" i="16"/>
  <c r="H14" i="16"/>
  <c r="H15" i="16"/>
  <c r="K21" i="16"/>
  <c r="K19" i="13"/>
  <c r="L18" i="13"/>
  <c r="L20" i="16"/>
  <c r="K19" i="16"/>
  <c r="K17" i="13"/>
  <c r="L11" i="16"/>
  <c r="L11" i="13"/>
  <c r="K8" i="16"/>
  <c r="K8" i="13"/>
  <c r="K21" i="15"/>
  <c r="L20" i="15"/>
  <c r="K19" i="15"/>
  <c r="L11" i="15"/>
  <c r="K8" i="15"/>
  <c r="K19" i="10"/>
  <c r="L18" i="10"/>
  <c r="K17" i="10"/>
  <c r="L11" i="10"/>
  <c r="K8" i="10"/>
  <c r="K10" i="16"/>
  <c r="N10" i="16" s="1"/>
  <c r="K10" i="15"/>
  <c r="N10" i="15" s="1"/>
  <c r="K10" i="13"/>
  <c r="N10" i="13" s="1"/>
  <c r="K10" i="10"/>
  <c r="N10" i="10" s="1"/>
  <c r="P8" i="10" l="1"/>
  <c r="C3" i="13"/>
  <c r="C3" i="10"/>
  <c r="C3" i="15"/>
  <c r="F3" i="16"/>
  <c r="F3" i="15"/>
  <c r="F3" i="13"/>
  <c r="F3" i="10"/>
  <c r="K9" i="16"/>
  <c r="D36" i="16" s="1"/>
  <c r="K9" i="13"/>
  <c r="C32" i="13" s="1"/>
  <c r="K9" i="15"/>
  <c r="D36" i="15" s="1"/>
  <c r="K9" i="10"/>
  <c r="D32" i="10" s="1"/>
  <c r="D32" i="13" l="1"/>
  <c r="F32" i="13" s="1"/>
  <c r="C36" i="16"/>
  <c r="C32" i="10"/>
  <c r="C36" i="15"/>
  <c r="F5" i="15"/>
  <c r="G5" i="13"/>
  <c r="G5" i="10"/>
  <c r="E5" i="10" s="1"/>
  <c r="F5" i="13" s="1"/>
  <c r="F36" i="16"/>
  <c r="N21" i="16"/>
  <c r="N20" i="16"/>
  <c r="N19" i="16"/>
  <c r="N11" i="16"/>
  <c r="N9" i="16"/>
  <c r="N8" i="16"/>
  <c r="F36" i="15"/>
  <c r="N21" i="15"/>
  <c r="N20" i="15"/>
  <c r="N19" i="15"/>
  <c r="N11" i="15"/>
  <c r="N9" i="15"/>
  <c r="N8" i="15"/>
  <c r="N19" i="13"/>
  <c r="N18" i="13"/>
  <c r="N17" i="13"/>
  <c r="N11" i="13"/>
  <c r="N9" i="13"/>
  <c r="N8" i="13"/>
  <c r="N18" i="10"/>
  <c r="N19" i="10"/>
  <c r="N17" i="10"/>
  <c r="N9" i="10"/>
  <c r="N11" i="10"/>
  <c r="N8" i="10"/>
  <c r="L23" i="16" l="1"/>
  <c r="N23" i="16" s="1"/>
  <c r="L25" i="16"/>
  <c r="N25" i="16" s="1"/>
  <c r="L24" i="16"/>
  <c r="N24" i="16" s="1"/>
  <c r="L15" i="16"/>
  <c r="N15" i="16" s="1"/>
  <c r="H26" i="16"/>
  <c r="K26" i="16" s="1"/>
  <c r="N26" i="16" s="1"/>
  <c r="L14" i="16"/>
  <c r="N14" i="16" s="1"/>
  <c r="H12" i="15"/>
  <c r="K12" i="15" s="1"/>
  <c r="L24" i="15"/>
  <c r="N24" i="15" s="1"/>
  <c r="L15" i="15"/>
  <c r="N15" i="15" s="1"/>
  <c r="L14" i="15"/>
  <c r="N14" i="15" s="1"/>
  <c r="E5" i="13"/>
  <c r="E5" i="16" s="1"/>
  <c r="F5" i="16"/>
  <c r="E5" i="15"/>
  <c r="H22" i="13"/>
  <c r="K22" i="13" s="1"/>
  <c r="N22" i="13" s="1"/>
  <c r="H29" i="16"/>
  <c r="L29" i="16" s="1"/>
  <c r="H29" i="15"/>
  <c r="L29" i="15" s="1"/>
  <c r="H26" i="15"/>
  <c r="K26" i="15" s="1"/>
  <c r="N26" i="15" s="1"/>
  <c r="H16" i="15"/>
  <c r="L16" i="15" s="1"/>
  <c r="N16" i="15" s="1"/>
  <c r="H30" i="15"/>
  <c r="L30" i="15" s="1"/>
  <c r="N30" i="15" s="1"/>
  <c r="H22" i="15"/>
  <c r="K22" i="15" s="1"/>
  <c r="J5" i="15"/>
  <c r="H20" i="13"/>
  <c r="K20" i="13" s="1"/>
  <c r="N20" i="13" s="1"/>
  <c r="H12" i="13"/>
  <c r="K12" i="13" s="1"/>
  <c r="N12" i="13" s="1"/>
  <c r="H21" i="13"/>
  <c r="L21" i="13" s="1"/>
  <c r="N21" i="13" s="1"/>
  <c r="H26" i="13"/>
  <c r="L26" i="13" s="1"/>
  <c r="N26" i="13" s="1"/>
  <c r="H14" i="13"/>
  <c r="L14" i="13" s="1"/>
  <c r="N14" i="13" s="1"/>
  <c r="H13" i="13"/>
  <c r="L13" i="13" s="1"/>
  <c r="H25" i="13"/>
  <c r="L25" i="13" s="1"/>
  <c r="J5" i="13"/>
  <c r="C2" i="10"/>
  <c r="K17" i="15" l="1"/>
  <c r="N12" i="15"/>
  <c r="L27" i="16"/>
  <c r="L27" i="15"/>
  <c r="L13" i="15"/>
  <c r="L17" i="15" s="1"/>
  <c r="C2" i="15"/>
  <c r="C2" i="13"/>
  <c r="C2" i="16"/>
  <c r="H16" i="16"/>
  <c r="L16" i="16" s="1"/>
  <c r="N16" i="16" s="1"/>
  <c r="H30" i="16"/>
  <c r="L30" i="16" s="1"/>
  <c r="N30" i="16" s="1"/>
  <c r="J5" i="16"/>
  <c r="K23" i="13"/>
  <c r="K15" i="13"/>
  <c r="H22" i="16"/>
  <c r="K22" i="16" s="1"/>
  <c r="H12" i="16"/>
  <c r="K12" i="16" s="1"/>
  <c r="N29" i="16"/>
  <c r="N22" i="15"/>
  <c r="K27" i="15"/>
  <c r="L31" i="15"/>
  <c r="N29" i="15"/>
  <c r="N31" i="15" s="1"/>
  <c r="L23" i="13"/>
  <c r="N23" i="13"/>
  <c r="N13" i="13"/>
  <c r="N15" i="13" s="1"/>
  <c r="L15" i="13"/>
  <c r="N25" i="13"/>
  <c r="N27" i="13" s="1"/>
  <c r="L27" i="13"/>
  <c r="D31" i="13"/>
  <c r="F31" i="13" s="1"/>
  <c r="C31" i="13"/>
  <c r="C33" i="13" s="1"/>
  <c r="K32" i="15" l="1"/>
  <c r="N12" i="16"/>
  <c r="C35" i="15"/>
  <c r="D35" i="15"/>
  <c r="F35" i="15" s="1"/>
  <c r="K28" i="13"/>
  <c r="N22" i="16"/>
  <c r="N27" i="16" s="1"/>
  <c r="K27" i="16"/>
  <c r="L32" i="15"/>
  <c r="L28" i="13"/>
  <c r="K17" i="16"/>
  <c r="N31" i="16"/>
  <c r="L13" i="16"/>
  <c r="L17" i="16" s="1"/>
  <c r="N13" i="15"/>
  <c r="N17" i="15" s="1"/>
  <c r="C37" i="15"/>
  <c r="L31" i="16"/>
  <c r="N27" i="15"/>
  <c r="D33" i="13"/>
  <c r="N28" i="13"/>
  <c r="C35" i="16" l="1"/>
  <c r="C37" i="16" s="1"/>
  <c r="D35" i="16"/>
  <c r="F35" i="16" s="1"/>
  <c r="L32" i="16"/>
  <c r="F33" i="13"/>
  <c r="E32" i="13"/>
  <c r="E31" i="13"/>
  <c r="K32" i="16"/>
  <c r="D37" i="15"/>
  <c r="N32" i="15"/>
  <c r="N13" i="16"/>
  <c r="N17" i="16" s="1"/>
  <c r="N32" i="16" s="1"/>
  <c r="C16" i="12" l="1"/>
  <c r="F37" i="15"/>
  <c r="E36" i="15"/>
  <c r="E35" i="15"/>
  <c r="D37" i="16"/>
  <c r="F32" i="10"/>
  <c r="F37" i="16" l="1"/>
  <c r="G37" i="16" s="1"/>
  <c r="C12" i="12" s="1"/>
  <c r="E36" i="16"/>
  <c r="E35" i="16"/>
  <c r="H25" i="10"/>
  <c r="L25" i="10" s="1"/>
  <c r="H13" i="10"/>
  <c r="L13" i="10" s="1"/>
  <c r="H20" i="10"/>
  <c r="K20" i="10" s="1"/>
  <c r="J5" i="10"/>
  <c r="H21" i="10"/>
  <c r="L21" i="10" s="1"/>
  <c r="H26" i="10"/>
  <c r="L26" i="10" s="1"/>
  <c r="N26" i="10" s="1"/>
  <c r="H14" i="10"/>
  <c r="L14" i="10" s="1"/>
  <c r="N14" i="10" s="1"/>
  <c r="H12" i="10"/>
  <c r="K12" i="10" s="1"/>
  <c r="H22" i="10"/>
  <c r="K22" i="10" s="1"/>
  <c r="N22" i="10" s="1"/>
  <c r="K15" i="10" l="1"/>
  <c r="N12" i="10"/>
  <c r="L23" i="10"/>
  <c r="N21" i="10"/>
  <c r="K23" i="10"/>
  <c r="N20" i="10"/>
  <c r="N23" i="10" s="1"/>
  <c r="N13" i="10"/>
  <c r="L15" i="10"/>
  <c r="L28" i="10" s="1"/>
  <c r="L27" i="10"/>
  <c r="N25" i="10"/>
  <c r="N27" i="10" s="1"/>
  <c r="C31" i="10"/>
  <c r="C33" i="10" s="1"/>
  <c r="D31" i="10"/>
  <c r="F31" i="10" s="1"/>
  <c r="K28" i="10" l="1"/>
  <c r="N15" i="10"/>
  <c r="N28" i="10" s="1"/>
  <c r="D33" i="10"/>
  <c r="C15" i="12" l="1"/>
  <c r="F33" i="10"/>
  <c r="E31" i="10"/>
  <c r="E32" i="10"/>
  <c r="G37" i="15"/>
  <c r="C11" i="12" s="1"/>
  <c r="C13" i="12" s="1"/>
  <c r="C17" i="12" l="1"/>
  <c r="C14" i="12" s="1"/>
</calcChain>
</file>

<file path=xl/sharedStrings.xml><?xml version="1.0" encoding="utf-8"?>
<sst xmlns="http://schemas.openxmlformats.org/spreadsheetml/2006/main" count="217" uniqueCount="69">
  <si>
    <t>Abonnement</t>
  </si>
  <si>
    <t>Consommation</t>
  </si>
  <si>
    <t>Facture</t>
  </si>
  <si>
    <r>
      <rPr>
        <sz val="11"/>
        <rFont val="Arial"/>
        <family val="2"/>
      </rPr>
      <t>Déterminé par</t>
    </r>
  </si>
  <si>
    <r>
      <rPr>
        <sz val="11"/>
        <rFont val="Arial"/>
        <family val="2"/>
      </rPr>
      <t>Date</t>
    </r>
  </si>
  <si>
    <r>
      <rPr>
        <sz val="11"/>
        <rFont val="Arial"/>
        <family val="2"/>
      </rPr>
      <t>Nouvel Index</t>
    </r>
  </si>
  <si>
    <r>
      <rPr>
        <sz val="11"/>
        <rFont val="Arial"/>
        <family val="2"/>
      </rPr>
      <t>Ancien Index</t>
    </r>
  </si>
  <si>
    <r>
      <rPr>
        <sz val="11"/>
        <rFont val="Arial"/>
        <family val="2"/>
      </rPr>
      <t>Consommation</t>
    </r>
  </si>
  <si>
    <r>
      <rPr>
        <sz val="11"/>
        <rFont val="Arial"/>
        <family val="2"/>
      </rPr>
      <t>Volume facturé</t>
    </r>
  </si>
  <si>
    <r>
      <rPr>
        <sz val="11"/>
        <rFont val="Arial"/>
        <family val="2"/>
      </rPr>
      <t>relevé</t>
    </r>
  </si>
  <si>
    <r>
      <rPr>
        <sz val="11"/>
        <rFont val="Arial"/>
        <family val="2"/>
      </rPr>
      <t>volume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</si>
  <si>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autres
organismes
montant HT</t>
    </r>
  </si>
  <si>
    <r>
      <rPr>
        <sz val="11"/>
        <rFont val="Arial"/>
        <family val="2"/>
      </rPr>
      <t>taux de
TVA</t>
    </r>
  </si>
  <si>
    <r>
      <rPr>
        <sz val="11"/>
        <rFont val="Arial"/>
        <family val="2"/>
      </rPr>
      <t>DISTRIBUTION DE L'EAU</t>
    </r>
  </si>
  <si>
    <r>
      <rPr>
        <sz val="11"/>
        <rFont val="Arial"/>
        <family val="2"/>
      </rPr>
      <t>Abonnement (part distributeur)</t>
    </r>
  </si>
  <si>
    <r>
      <rPr>
        <sz val="11"/>
        <rFont val="Arial"/>
        <family val="2"/>
      </rPr>
      <t>Abonnement location compteur (part distributeur)</t>
    </r>
  </si>
  <si>
    <r>
      <rPr>
        <sz val="11"/>
        <rFont val="Arial"/>
        <family val="2"/>
      </rPr>
      <t>Abonnement (part communale)</t>
    </r>
  </si>
  <si>
    <r>
      <rPr>
        <sz val="11"/>
        <rFont val="Arial"/>
        <family val="2"/>
      </rPr>
      <t>COLLECTE ET/OU TRAITEMENT DES EAUX USEES</t>
    </r>
  </si>
  <si>
    <r>
      <rPr>
        <sz val="11"/>
        <rFont val="Arial"/>
        <family val="2"/>
      </rPr>
      <t>Abonnement SAHI (part distributeur)</t>
    </r>
  </si>
  <si>
    <t>Compteur n°</t>
  </si>
  <si>
    <t>prix unitaire
montant HT</t>
  </si>
  <si>
    <t>distributeur montant HT</t>
  </si>
  <si>
    <t>Consommation (part distributeur)</t>
  </si>
  <si>
    <t>Consommation (part communale)</t>
  </si>
  <si>
    <t>Préservation des ressources en eau (agence de l'eau)</t>
  </si>
  <si>
    <t>Consommation SAHI (part distributeur)</t>
  </si>
  <si>
    <t>Lutte contre la pollution (agence de l'eau)</t>
  </si>
  <si>
    <t>Modernisation des réseaux de collecte (agence de l'eau)</t>
  </si>
  <si>
    <t>HT</t>
  </si>
  <si>
    <t>TTC</t>
  </si>
  <si>
    <t>Nb d'unités d'habitation</t>
  </si>
  <si>
    <t>Copropriété</t>
  </si>
  <si>
    <t>Nombre d'unités d'habitation</t>
  </si>
  <si>
    <t>Impact modulation prix du m3 d'eau aux Arcs</t>
  </si>
  <si>
    <t>2022-1</t>
  </si>
  <si>
    <t>sous-total
TTC</t>
  </si>
  <si>
    <t>Total DISTRIBUTION DE L'EAU</t>
  </si>
  <si>
    <t>2022-2</t>
  </si>
  <si>
    <t>Tranche</t>
  </si>
  <si>
    <t>Moyenne</t>
  </si>
  <si>
    <t>Impact</t>
  </si>
  <si>
    <t>Consommation 2022-1</t>
  </si>
  <si>
    <t>Location compteur 2022-1</t>
  </si>
  <si>
    <t>Consommation 2022-2</t>
  </si>
  <si>
    <t>Location compteur 2022-2</t>
  </si>
  <si>
    <t>Impact de la modulation par lot principal hiver</t>
  </si>
  <si>
    <t>Impact de la modulation par lot principal hors hiver</t>
  </si>
  <si>
    <t>Impact de la modulation par lot principal sur un an</t>
  </si>
  <si>
    <t>COLLECTE ET/OU TRAITEMENT DES EAUX USEES</t>
  </si>
  <si>
    <t>Total COLLECTE ET/OU TRAITEMENT DES EAUX USEES</t>
  </si>
  <si>
    <t>ORGANISMES PUBLICS</t>
  </si>
  <si>
    <t>Total ORGANISMES PUBLICS</t>
  </si>
  <si>
    <t>Total général</t>
  </si>
  <si>
    <r>
      <rPr>
        <b/>
        <sz val="11"/>
        <rFont val="Arial"/>
        <family val="2"/>
      </rPr>
      <t>ORGANISMES PUBLICS</t>
    </r>
  </si>
  <si>
    <t>Abonnement (part communale)</t>
  </si>
  <si>
    <t>Forfait branchement incendie</t>
  </si>
  <si>
    <t>Forfait branchement incendie 2022-1</t>
  </si>
  <si>
    <t>Forfait branchement incendie 2022-2</t>
  </si>
  <si>
    <t>Pourcentage de modulation</t>
  </si>
  <si>
    <t>Total</t>
  </si>
  <si>
    <t>%</t>
  </si>
  <si>
    <t>Total 2022</t>
  </si>
  <si>
    <t>Total 2022 nouvelle tarification</t>
  </si>
  <si>
    <t>Augmentation</t>
  </si>
  <si>
    <t>Consommation (part communale) tranche 1</t>
  </si>
  <si>
    <t>Consommation (part communale) tranche 2</t>
  </si>
  <si>
    <t>Consommation (part communale) trnache 3</t>
  </si>
  <si>
    <t>Facture avec tarification progressive</t>
  </si>
  <si>
    <t>Consommation (part communale) tranche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</si>
</sst>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164" formatCode="#,##0.00\ &quot;€&quot;"/>
    <numFmt numFmtId="165" formatCode="0.0000"/>
  </numFmts>
  <fonts count="2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rgb="FF000000"/>
      <name val="Arial"/>
      <family val="2"/>
    </font>
    <font>
      <vertAlign val="subscript"/>
      <sz val="16"/>
      <name val="Arial"/>
      <family val="2"/>
    </font>
    <font>
      <sz val="18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 wrapText="1"/>
    </xf>
    <xf numFmtId="2" fontId="4" fillId="3" borderId="17" xfId="0" applyNumberFormat="1" applyFont="1" applyFill="1" applyBorder="1" applyAlignment="1">
      <alignment horizontal="right" vertical="center" wrapText="1"/>
    </xf>
    <xf numFmtId="0" fontId="7" fillId="3" borderId="17" xfId="0" applyFont="1" applyFill="1" applyBorder="1" applyAlignment="1">
      <alignment horizontal="left" vertical="top" wrapText="1"/>
    </xf>
    <xf numFmtId="10" fontId="4" fillId="3" borderId="17" xfId="0" applyNumberFormat="1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left" vertical="top" wrapText="1"/>
    </xf>
    <xf numFmtId="0" fontId="0" fillId="3" borderId="20" xfId="0" applyFill="1" applyBorder="1"/>
    <xf numFmtId="0" fontId="0" fillId="3" borderId="2" xfId="0" applyFill="1" applyBorder="1"/>
    <xf numFmtId="164" fontId="0" fillId="3" borderId="1" xfId="0" applyNumberFormat="1" applyFill="1" applyBorder="1"/>
    <xf numFmtId="0" fontId="0" fillId="3" borderId="4" xfId="0" applyFill="1" applyBorder="1"/>
    <xf numFmtId="164" fontId="0" fillId="3" borderId="5" xfId="0" applyNumberFormat="1" applyFill="1" applyBorder="1"/>
    <xf numFmtId="164" fontId="0" fillId="3" borderId="6" xfId="0" applyNumberFormat="1" applyFill="1" applyBorder="1"/>
    <xf numFmtId="1" fontId="4" fillId="3" borderId="1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9" fillId="3" borderId="14" xfId="0" applyFont="1" applyFill="1" applyBorder="1" applyAlignment="1">
      <alignment horizontal="right" vertical="center" wrapText="1" indent="1"/>
    </xf>
    <xf numFmtId="0" fontId="4" fillId="3" borderId="7" xfId="0" applyFont="1" applyFill="1" applyBorder="1" applyAlignment="1">
      <alignment horizontal="center" vertical="center" wrapText="1"/>
    </xf>
    <xf numFmtId="0" fontId="1" fillId="5" borderId="40" xfId="0" applyFont="1" applyFill="1" applyBorder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right" vertical="center"/>
    </xf>
    <xf numFmtId="0" fontId="1" fillId="5" borderId="36" xfId="0" applyFont="1" applyFill="1" applyBorder="1" applyAlignment="1">
      <alignment horizontal="right"/>
    </xf>
    <xf numFmtId="0" fontId="10" fillId="5" borderId="38" xfId="0" applyFont="1" applyFill="1" applyBorder="1" applyAlignment="1">
      <alignment horizontal="right" vertical="center"/>
    </xf>
    <xf numFmtId="0" fontId="10" fillId="5" borderId="32" xfId="0" quotePrefix="1" applyFont="1" applyFill="1" applyBorder="1" applyAlignment="1">
      <alignment vertical="center"/>
    </xf>
    <xf numFmtId="14" fontId="1" fillId="5" borderId="41" xfId="0" applyNumberFormat="1" applyFont="1" applyFill="1" applyBorder="1"/>
    <xf numFmtId="1" fontId="4" fillId="3" borderId="1" xfId="0" applyNumberFormat="1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right" vertical="center"/>
    </xf>
    <xf numFmtId="0" fontId="0" fillId="6" borderId="2" xfId="0" applyFill="1" applyBorder="1" applyAlignment="1">
      <alignment horizontal="right" vertical="center"/>
    </xf>
    <xf numFmtId="0" fontId="0" fillId="6" borderId="4" xfId="0" applyFill="1" applyBorder="1" applyAlignment="1">
      <alignment horizontal="right" vertical="center"/>
    </xf>
    <xf numFmtId="0" fontId="0" fillId="0" borderId="35" xfId="0" applyBorder="1"/>
    <xf numFmtId="0" fontId="5" fillId="3" borderId="3" xfId="0" applyFont="1" applyFill="1" applyBorder="1" applyAlignment="1">
      <alignment horizontal="center" vertical="center" wrapText="1"/>
    </xf>
    <xf numFmtId="2" fontId="7" fillId="3" borderId="19" xfId="0" applyNumberFormat="1" applyFont="1" applyFill="1" applyBorder="1" applyAlignment="1">
      <alignment horizontal="right" vertical="top" wrapText="1"/>
    </xf>
    <xf numFmtId="0" fontId="3" fillId="0" borderId="0" xfId="0" applyFont="1"/>
    <xf numFmtId="9" fontId="0" fillId="0" borderId="0" xfId="1" applyFont="1"/>
    <xf numFmtId="164" fontId="0" fillId="0" borderId="0" xfId="0" applyNumberFormat="1"/>
    <xf numFmtId="1" fontId="4" fillId="7" borderId="33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10" fillId="5" borderId="38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8" fillId="3" borderId="17" xfId="0" applyFont="1" applyFill="1" applyBorder="1" applyAlignment="1">
      <alignment horizontal="left" vertical="top" wrapText="1"/>
    </xf>
    <xf numFmtId="2" fontId="5" fillId="3" borderId="17" xfId="0" applyNumberFormat="1" applyFont="1" applyFill="1" applyBorder="1" applyAlignment="1">
      <alignment horizontal="right" vertical="center" wrapText="1"/>
    </xf>
    <xf numFmtId="0" fontId="0" fillId="6" borderId="4" xfId="0" applyFill="1" applyBorder="1" applyAlignment="1">
      <alignment horizontal="right"/>
    </xf>
    <xf numFmtId="0" fontId="1" fillId="5" borderId="5" xfId="0" applyFont="1" applyFill="1" applyBorder="1" applyAlignment="1">
      <alignment horizontal="center"/>
    </xf>
    <xf numFmtId="2" fontId="15" fillId="3" borderId="23" xfId="0" applyNumberFormat="1" applyFont="1" applyFill="1" applyBorder="1" applyAlignment="1">
      <alignment horizontal="right" vertical="top" wrapText="1"/>
    </xf>
    <xf numFmtId="0" fontId="15" fillId="3" borderId="23" xfId="0" applyFont="1" applyFill="1" applyBorder="1" applyAlignment="1">
      <alignment horizontal="left" vertical="top" wrapText="1"/>
    </xf>
    <xf numFmtId="2" fontId="14" fillId="3" borderId="25" xfId="0" applyNumberFormat="1" applyFont="1" applyFill="1" applyBorder="1" applyAlignment="1">
      <alignment horizontal="right" vertical="center" wrapText="1"/>
    </xf>
    <xf numFmtId="0" fontId="15" fillId="3" borderId="23" xfId="0" applyFont="1" applyFill="1" applyBorder="1" applyAlignment="1">
      <alignment horizontal="right" vertical="top" wrapText="1"/>
    </xf>
    <xf numFmtId="2" fontId="14" fillId="3" borderId="9" xfId="0" applyNumberFormat="1" applyFont="1" applyFill="1" applyBorder="1" applyAlignment="1">
      <alignment horizontal="right" vertical="center" wrapText="1"/>
    </xf>
    <xf numFmtId="0" fontId="15" fillId="3" borderId="9" xfId="0" applyFont="1" applyFill="1" applyBorder="1" applyAlignment="1">
      <alignment horizontal="left" vertical="top" wrapText="1"/>
    </xf>
    <xf numFmtId="2" fontId="14" fillId="3" borderId="10" xfId="0" applyNumberFormat="1" applyFont="1" applyFill="1" applyBorder="1" applyAlignment="1">
      <alignment horizontal="right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1" fontId="4" fillId="3" borderId="26" xfId="0" applyNumberFormat="1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2" fontId="17" fillId="3" borderId="23" xfId="0" applyNumberFormat="1" applyFont="1" applyFill="1" applyBorder="1" applyAlignment="1">
      <alignment horizontal="right" vertical="top" wrapText="1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2" fontId="15" fillId="3" borderId="25" xfId="0" applyNumberFormat="1" applyFont="1" applyFill="1" applyBorder="1" applyAlignment="1">
      <alignment horizontal="right" vertical="top" wrapText="1"/>
    </xf>
    <xf numFmtId="0" fontId="4" fillId="3" borderId="3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top" wrapText="1"/>
    </xf>
    <xf numFmtId="2" fontId="15" fillId="3" borderId="5" xfId="0" applyNumberFormat="1" applyFont="1" applyFill="1" applyBorder="1" applyAlignment="1">
      <alignment horizontal="right" vertical="top" wrapText="1"/>
    </xf>
    <xf numFmtId="0" fontId="15" fillId="3" borderId="5" xfId="0" applyFont="1" applyFill="1" applyBorder="1" applyAlignment="1">
      <alignment horizontal="right" vertical="top" wrapText="1"/>
    </xf>
    <xf numFmtId="2" fontId="15" fillId="3" borderId="6" xfId="0" applyNumberFormat="1" applyFont="1" applyFill="1" applyBorder="1" applyAlignment="1">
      <alignment horizontal="right" vertical="top" wrapText="1"/>
    </xf>
    <xf numFmtId="0" fontId="0" fillId="6" borderId="16" xfId="0" applyFill="1" applyBorder="1" applyAlignment="1">
      <alignment horizontal="right"/>
    </xf>
    <xf numFmtId="2" fontId="21" fillId="3" borderId="23" xfId="0" applyNumberFormat="1" applyFont="1" applyFill="1" applyBorder="1" applyAlignment="1">
      <alignment horizontal="right" vertical="top" wrapText="1"/>
    </xf>
    <xf numFmtId="0" fontId="0" fillId="6" borderId="8" xfId="0" applyFill="1" applyBorder="1" applyAlignment="1">
      <alignment horizontal="right" vertical="center"/>
    </xf>
    <xf numFmtId="0" fontId="0" fillId="6" borderId="15" xfId="0" applyFill="1" applyBorder="1" applyAlignment="1">
      <alignment horizontal="right" vertical="center"/>
    </xf>
    <xf numFmtId="0" fontId="0" fillId="6" borderId="51" xfId="0" applyFill="1" applyBorder="1" applyAlignment="1">
      <alignment horizontal="right" vertical="center"/>
    </xf>
    <xf numFmtId="0" fontId="0" fillId="6" borderId="36" xfId="0" applyFill="1" applyBorder="1" applyAlignment="1">
      <alignment horizontal="right" vertical="center"/>
    </xf>
    <xf numFmtId="2" fontId="4" fillId="9" borderId="17" xfId="0" applyNumberFormat="1" applyFont="1" applyFill="1" applyBorder="1" applyAlignment="1">
      <alignment horizontal="right" vertical="center" wrapText="1"/>
    </xf>
    <xf numFmtId="10" fontId="4" fillId="9" borderId="17" xfId="0" applyNumberFormat="1" applyFont="1" applyFill="1" applyBorder="1" applyAlignment="1">
      <alignment horizontal="right" vertical="center" wrapText="1"/>
    </xf>
    <xf numFmtId="2" fontId="7" fillId="9" borderId="19" xfId="0" applyNumberFormat="1" applyFont="1" applyFill="1" applyBorder="1" applyAlignment="1">
      <alignment horizontal="right" vertical="top" wrapText="1"/>
    </xf>
    <xf numFmtId="0" fontId="7" fillId="9" borderId="17" xfId="0" applyFont="1" applyFill="1" applyBorder="1" applyAlignment="1">
      <alignment horizontal="left" vertical="top" wrapText="1"/>
    </xf>
    <xf numFmtId="0" fontId="7" fillId="9" borderId="26" xfId="0" applyFont="1" applyFill="1" applyBorder="1" applyAlignment="1">
      <alignment horizontal="left" vertical="top" wrapText="1"/>
    </xf>
    <xf numFmtId="1" fontId="4" fillId="9" borderId="0" xfId="0" applyNumberFormat="1" applyFont="1" applyFill="1" applyAlignment="1">
      <alignment horizontal="center" vertical="center" wrapText="1"/>
    </xf>
    <xf numFmtId="0" fontId="18" fillId="9" borderId="26" xfId="0" applyFont="1" applyFill="1" applyBorder="1" applyAlignment="1">
      <alignment horizontal="left" vertical="top" wrapText="1"/>
    </xf>
    <xf numFmtId="0" fontId="12" fillId="2" borderId="45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3" fillId="3" borderId="45" xfId="0" applyFont="1" applyFill="1" applyBorder="1" applyAlignment="1">
      <alignment horizontal="left" vertical="center" wrapText="1"/>
    </xf>
    <xf numFmtId="0" fontId="13" fillId="3" borderId="47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165" fontId="4" fillId="3" borderId="17" xfId="0" applyNumberFormat="1" applyFont="1" applyFill="1" applyBorder="1" applyAlignment="1">
      <alignment horizontal="right" vertical="center" wrapText="1"/>
    </xf>
    <xf numFmtId="0" fontId="16" fillId="3" borderId="48" xfId="0" applyFont="1" applyFill="1" applyBorder="1" applyAlignment="1">
      <alignment horizontal="left" vertical="center" wrapText="1"/>
    </xf>
    <xf numFmtId="0" fontId="16" fillId="3" borderId="49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horizontal="left" vertical="top" wrapText="1"/>
    </xf>
    <xf numFmtId="165" fontId="5" fillId="3" borderId="17" xfId="0" applyNumberFormat="1" applyFont="1" applyFill="1" applyBorder="1" applyAlignment="1">
      <alignment horizontal="righ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9" fillId="3" borderId="17" xfId="0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top" wrapText="1"/>
    </xf>
    <xf numFmtId="0" fontId="16" fillId="3" borderId="48" xfId="0" applyFont="1" applyFill="1" applyBorder="1" applyAlignment="1">
      <alignment vertical="center"/>
    </xf>
    <xf numFmtId="0" fontId="16" fillId="3" borderId="49" xfId="0" applyFont="1" applyFill="1" applyBorder="1" applyAlignment="1">
      <alignment vertical="center"/>
    </xf>
    <xf numFmtId="0" fontId="16" fillId="3" borderId="27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left" vertical="top" wrapText="1"/>
    </xf>
    <xf numFmtId="0" fontId="16" fillId="3" borderId="48" xfId="0" applyFont="1" applyFill="1" applyBorder="1" applyAlignment="1">
      <alignment vertical="center" wrapText="1"/>
    </xf>
    <xf numFmtId="0" fontId="16" fillId="3" borderId="49" xfId="0" applyFont="1" applyFill="1" applyBorder="1" applyAlignment="1">
      <alignment vertical="center" wrapText="1"/>
    </xf>
    <xf numFmtId="0" fontId="17" fillId="3" borderId="23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top" wrapText="1"/>
    </xf>
    <xf numFmtId="0" fontId="7" fillId="3" borderId="26" xfId="0" applyFont="1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top" wrapText="1"/>
    </xf>
    <xf numFmtId="0" fontId="10" fillId="5" borderId="39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right"/>
    </xf>
    <xf numFmtId="0" fontId="1" fillId="5" borderId="42" xfId="0" applyFont="1" applyFill="1" applyBorder="1" applyAlignment="1">
      <alignment horizontal="right"/>
    </xf>
    <xf numFmtId="0" fontId="4" fillId="3" borderId="3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3" borderId="2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5" fillId="9" borderId="15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horizontal="left" vertical="center" wrapText="1"/>
    </xf>
    <xf numFmtId="165" fontId="5" fillId="9" borderId="17" xfId="0" applyNumberFormat="1" applyFont="1" applyFill="1" applyBorder="1" applyAlignment="1">
      <alignment horizontal="right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left" vertical="center" wrapText="1"/>
    </xf>
    <xf numFmtId="0" fontId="16" fillId="3" borderId="4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top" wrapText="1"/>
    </xf>
    <xf numFmtId="0" fontId="5" fillId="3" borderId="54" xfId="0" applyFont="1" applyFill="1" applyBorder="1" applyAlignment="1">
      <alignment horizontal="left" vertical="center" wrapText="1"/>
    </xf>
    <xf numFmtId="0" fontId="5" fillId="3" borderId="55" xfId="0" applyFont="1" applyFill="1" applyBorder="1" applyAlignment="1">
      <alignment horizontal="left" vertical="center" wrapText="1"/>
    </xf>
    <xf numFmtId="165" fontId="5" fillId="3" borderId="52" xfId="0" applyNumberFormat="1" applyFont="1" applyFill="1" applyBorder="1" applyAlignment="1">
      <alignment horizontal="right" vertical="center" wrapText="1"/>
    </xf>
    <xf numFmtId="165" fontId="5" fillId="3" borderId="53" xfId="0" applyNumberFormat="1" applyFont="1" applyFill="1" applyBorder="1" applyAlignment="1">
      <alignment horizontal="right" vertical="center" wrapText="1"/>
    </xf>
    <xf numFmtId="0" fontId="7" fillId="3" borderId="24" xfId="0" applyFont="1" applyFill="1" applyBorder="1" applyAlignment="1">
      <alignment horizontal="left" vertical="top" wrapText="1"/>
    </xf>
    <xf numFmtId="0" fontId="7" fillId="3" borderId="27" xfId="0" applyFont="1" applyFill="1" applyBorder="1" applyAlignment="1">
      <alignment horizontal="left" vertical="top" wrapText="1"/>
    </xf>
    <xf numFmtId="165" fontId="5" fillId="9" borderId="18" xfId="0" applyNumberFormat="1" applyFont="1" applyFill="1" applyBorder="1" applyAlignment="1">
      <alignment horizontal="right" vertical="center" wrapText="1"/>
    </xf>
    <xf numFmtId="165" fontId="5" fillId="9" borderId="26" xfId="0" applyNumberFormat="1" applyFont="1" applyFill="1" applyBorder="1" applyAlignment="1">
      <alignment horizontal="right" vertical="center" wrapText="1"/>
    </xf>
    <xf numFmtId="1" fontId="4" fillId="8" borderId="12" xfId="0" applyNumberFormat="1" applyFont="1" applyFill="1" applyBorder="1" applyAlignment="1">
      <alignment horizontal="center" vertical="center" wrapText="1"/>
    </xf>
    <xf numFmtId="1" fontId="4" fillId="8" borderId="33" xfId="0" applyNumberFormat="1" applyFont="1" applyFill="1" applyBorder="1" applyAlignment="1">
      <alignment horizontal="center" vertical="center" wrapText="1"/>
    </xf>
    <xf numFmtId="1" fontId="4" fillId="8" borderId="29" xfId="0" applyNumberFormat="1" applyFont="1" applyFill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/>
    </xf>
    <xf numFmtId="164" fontId="0" fillId="6" borderId="44" xfId="0" applyNumberFormat="1" applyFill="1" applyBorder="1" applyAlignment="1">
      <alignment horizontal="center" vertical="center"/>
    </xf>
    <xf numFmtId="164" fontId="0" fillId="6" borderId="25" xfId="0" applyNumberFormat="1" applyFill="1" applyBorder="1" applyAlignment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9" fontId="3" fillId="3" borderId="46" xfId="1" applyFont="1" applyFill="1" applyBorder="1" applyAlignment="1">
      <alignment horizontal="center" vertical="center"/>
    </xf>
    <xf numFmtId="164" fontId="3" fillId="3" borderId="32" xfId="2" applyNumberFormat="1" applyFont="1" applyFill="1" applyBorder="1" applyAlignment="1">
      <alignment horizontal="center" vertical="center"/>
    </xf>
    <xf numFmtId="164" fontId="3" fillId="3" borderId="44" xfId="2" applyNumberFormat="1" applyFont="1" applyFill="1" applyBorder="1" applyAlignment="1">
      <alignment horizontal="center" vertical="center"/>
    </xf>
    <xf numFmtId="164" fontId="3" fillId="3" borderId="41" xfId="0" applyNumberFormat="1" applyFont="1" applyFill="1" applyBorder="1" applyAlignment="1">
      <alignment horizontal="center" vertical="center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4BAA1-12BC-2945-98B8-1557DAA3989C}">
  <dimension ref="B1:C17"/>
  <sheetViews>
    <sheetView workbookViewId="0">
      <selection activeCell="C7" sqref="C7"/>
    </sheetView>
    <sheetView tabSelected="1" workbookViewId="1">
      <selection activeCell="B23" sqref="B23"/>
    </sheetView>
  </sheetViews>
  <sheetFormatPr baseColWidth="10" defaultRowHeight="16" x14ac:dyDescent="0.2"/>
  <cols>
    <col min="1" max="1" width="5.33203125" customWidth="1"/>
    <col min="2" max="2" width="44.83203125" customWidth="1"/>
    <col min="3" max="3" width="24.83203125" style="2" customWidth="1"/>
    <col min="4" max="4" width="13.83203125" customWidth="1"/>
  </cols>
  <sheetData>
    <row r="1" spans="2:3" ht="20" thickBot="1" x14ac:dyDescent="0.3">
      <c r="B1" s="88" t="s">
        <v>33</v>
      </c>
      <c r="C1" s="89"/>
    </row>
    <row r="2" spans="2:3" ht="17" thickBot="1" x14ac:dyDescent="0.25">
      <c r="B2" s="37"/>
      <c r="C2" s="48"/>
    </row>
    <row r="3" spans="2:3" ht="26" x14ac:dyDescent="0.2">
      <c r="B3" s="34" t="s">
        <v>31</v>
      </c>
      <c r="C3" s="46"/>
    </row>
    <row r="4" spans="2:3" x14ac:dyDescent="0.2">
      <c r="B4" s="35" t="s">
        <v>32</v>
      </c>
      <c r="C4" s="47"/>
    </row>
    <row r="5" spans="2:3" x14ac:dyDescent="0.2">
      <c r="B5" s="35" t="s">
        <v>41</v>
      </c>
      <c r="C5" s="47"/>
    </row>
    <row r="6" spans="2:3" x14ac:dyDescent="0.2">
      <c r="B6" s="35" t="s">
        <v>43</v>
      </c>
      <c r="C6" s="47"/>
    </row>
    <row r="7" spans="2:3" x14ac:dyDescent="0.2">
      <c r="B7" s="35" t="s">
        <v>42</v>
      </c>
      <c r="C7" s="160"/>
    </row>
    <row r="8" spans="2:3" x14ac:dyDescent="0.2">
      <c r="B8" s="75" t="s">
        <v>44</v>
      </c>
      <c r="C8" s="161"/>
    </row>
    <row r="9" spans="2:3" x14ac:dyDescent="0.2">
      <c r="B9" s="75" t="s">
        <v>56</v>
      </c>
      <c r="C9" s="162"/>
    </row>
    <row r="10" spans="2:3" ht="17" thickBot="1" x14ac:dyDescent="0.25">
      <c r="B10" s="51" t="s">
        <v>57</v>
      </c>
      <c r="C10" s="163"/>
    </row>
    <row r="11" spans="2:3" x14ac:dyDescent="0.2">
      <c r="B11" s="34" t="s">
        <v>45</v>
      </c>
      <c r="C11" s="164">
        <f>'2022-1 modulation'!G37</f>
        <v>0</v>
      </c>
    </row>
    <row r="12" spans="2:3" x14ac:dyDescent="0.2">
      <c r="B12" s="35" t="s">
        <v>46</v>
      </c>
      <c r="C12" s="165">
        <f>'2022-2 modulation'!G37</f>
        <v>0</v>
      </c>
    </row>
    <row r="13" spans="2:3" ht="17" thickBot="1" x14ac:dyDescent="0.25">
      <c r="B13" s="36" t="s">
        <v>47</v>
      </c>
      <c r="C13" s="166">
        <f>C11+C12</f>
        <v>0</v>
      </c>
    </row>
    <row r="14" spans="2:3" ht="17" thickBot="1" x14ac:dyDescent="0.25">
      <c r="B14" s="77" t="s">
        <v>58</v>
      </c>
      <c r="C14" s="167" t="str">
        <f>IF(C15&lt;&gt;0,C17/C15,"")</f>
        <v/>
      </c>
    </row>
    <row r="15" spans="2:3" x14ac:dyDescent="0.2">
      <c r="B15" s="79" t="s">
        <v>61</v>
      </c>
      <c r="C15" s="168">
        <f>'2022-1'!N28+'2022-2'!N28</f>
        <v>0</v>
      </c>
    </row>
    <row r="16" spans="2:3" x14ac:dyDescent="0.2">
      <c r="B16" s="78" t="s">
        <v>62</v>
      </c>
      <c r="C16" s="169">
        <f>'2022-1 modulation'!N32+'2022-2 modulation'!N32</f>
        <v>0</v>
      </c>
    </row>
    <row r="17" spans="2:3" ht="17" thickBot="1" x14ac:dyDescent="0.25">
      <c r="B17" s="80" t="s">
        <v>63</v>
      </c>
      <c r="C17" s="170">
        <f>C16-C15</f>
        <v>0</v>
      </c>
    </row>
  </sheetData>
  <mergeCells count="1">
    <mergeCell ref="B1:C1"/>
  </mergeCells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B389C-ADFF-584F-9806-5DB50E9AD297}">
  <dimension ref="B1:P33"/>
  <sheetViews>
    <sheetView topLeftCell="A4" zoomScaleNormal="100" workbookViewId="0">
      <selection activeCell="D31" sqref="D31"/>
    </sheetView>
    <sheetView workbookViewId="1">
      <selection activeCell="D33" sqref="D33"/>
    </sheetView>
  </sheetViews>
  <sheetFormatPr baseColWidth="10" defaultRowHeight="16" x14ac:dyDescent="0.2"/>
  <cols>
    <col min="1" max="1" width="3.33203125" customWidth="1"/>
    <col min="2" max="2" width="15.83203125" customWidth="1"/>
    <col min="3" max="4" width="13.33203125" customWidth="1"/>
    <col min="8" max="8" width="10.83203125" style="25"/>
    <col min="9" max="9" width="5.83203125" customWidth="1"/>
    <col min="10" max="10" width="9.1640625" customWidth="1"/>
    <col min="11" max="11" width="14.5" customWidth="1"/>
  </cols>
  <sheetData>
    <row r="1" spans="2:16" ht="20" customHeight="1" thickBot="1" x14ac:dyDescent="0.25"/>
    <row r="2" spans="2:16" s="1" customFormat="1" ht="25" customHeight="1" x14ac:dyDescent="0.2">
      <c r="B2" s="28" t="s">
        <v>31</v>
      </c>
      <c r="C2" s="127">
        <f>Copropriété</f>
        <v>0</v>
      </c>
      <c r="D2" s="128"/>
      <c r="E2" s="128"/>
      <c r="F2" s="128"/>
      <c r="G2" s="128"/>
      <c r="H2" s="128"/>
      <c r="I2" s="128"/>
      <c r="J2" s="45"/>
      <c r="K2" s="45"/>
      <c r="L2" s="45"/>
      <c r="M2" s="30" t="s">
        <v>2</v>
      </c>
      <c r="N2" s="31" t="s">
        <v>34</v>
      </c>
    </row>
    <row r="3" spans="2:16" ht="20" customHeight="1" thickBot="1" x14ac:dyDescent="0.25">
      <c r="B3" s="29" t="s">
        <v>38</v>
      </c>
      <c r="C3" s="52">
        <f>IF((Consommation_2022_1+Consommation_2022_2)&lt;=80,1,IF((Consommation_2022_1+Consommation_2022_2)&lt;=800,2,3))</f>
        <v>1</v>
      </c>
      <c r="D3" s="129" t="s">
        <v>30</v>
      </c>
      <c r="E3" s="130"/>
      <c r="F3" s="26">
        <f>NbUH</f>
        <v>0</v>
      </c>
      <c r="G3" s="67"/>
      <c r="H3" s="68"/>
      <c r="I3" s="67"/>
      <c r="J3" s="24"/>
      <c r="K3" s="24"/>
      <c r="L3" s="24"/>
      <c r="M3" s="24"/>
      <c r="N3" s="32">
        <v>44699</v>
      </c>
    </row>
    <row r="4" spans="2:16" ht="30" customHeight="1" x14ac:dyDescent="0.2">
      <c r="B4" s="22" t="s">
        <v>19</v>
      </c>
      <c r="C4" s="23" t="s">
        <v>3</v>
      </c>
      <c r="D4" s="23" t="s">
        <v>4</v>
      </c>
      <c r="E4" s="23" t="s">
        <v>5</v>
      </c>
      <c r="F4" s="23" t="s">
        <v>6</v>
      </c>
      <c r="G4" s="131" t="s">
        <v>7</v>
      </c>
      <c r="H4" s="131"/>
      <c r="I4" s="131"/>
      <c r="J4" s="132" t="s">
        <v>8</v>
      </c>
      <c r="K4" s="132"/>
      <c r="L4" s="132"/>
      <c r="M4" s="132"/>
      <c r="N4" s="133"/>
    </row>
    <row r="5" spans="2:16" s="1" customFormat="1" ht="26" customHeight="1" x14ac:dyDescent="0.2">
      <c r="B5" s="3"/>
      <c r="C5" s="4" t="s">
        <v>9</v>
      </c>
      <c r="D5" s="27">
        <v>44664</v>
      </c>
      <c r="E5" s="33">
        <f>F5+G5</f>
        <v>0</v>
      </c>
      <c r="F5" s="44"/>
      <c r="G5" s="134">
        <f>'Tableau de bord'!C5</f>
        <v>0</v>
      </c>
      <c r="H5" s="134"/>
      <c r="I5" s="134"/>
      <c r="J5" s="135">
        <f>$G$5</f>
        <v>0</v>
      </c>
      <c r="K5" s="136"/>
      <c r="L5" s="136"/>
      <c r="M5" s="136"/>
      <c r="N5" s="137"/>
    </row>
    <row r="6" spans="2:16" s="2" customFormat="1" ht="45" customHeight="1" x14ac:dyDescent="0.2">
      <c r="B6" s="118"/>
      <c r="C6" s="119"/>
      <c r="D6" s="119"/>
      <c r="E6" s="119"/>
      <c r="F6" s="119"/>
      <c r="G6" s="120"/>
      <c r="H6" s="23" t="s">
        <v>10</v>
      </c>
      <c r="I6" s="121" t="s">
        <v>20</v>
      </c>
      <c r="J6" s="122"/>
      <c r="K6" s="5" t="s">
        <v>21</v>
      </c>
      <c r="L6" s="4" t="s">
        <v>11</v>
      </c>
      <c r="M6" s="4" t="s">
        <v>12</v>
      </c>
      <c r="N6" s="38" t="s">
        <v>35</v>
      </c>
    </row>
    <row r="7" spans="2:16" x14ac:dyDescent="0.2">
      <c r="B7" s="123" t="s">
        <v>13</v>
      </c>
      <c r="C7" s="124"/>
      <c r="D7" s="124"/>
      <c r="E7" s="124"/>
      <c r="F7" s="124"/>
      <c r="G7" s="125"/>
      <c r="H7" s="60"/>
      <c r="I7" s="126"/>
      <c r="J7" s="126"/>
      <c r="K7" s="6"/>
      <c r="L7" s="6"/>
      <c r="M7" s="6"/>
      <c r="N7" s="7"/>
    </row>
    <row r="8" spans="2:16" x14ac:dyDescent="0.2">
      <c r="B8" s="108" t="s">
        <v>14</v>
      </c>
      <c r="C8" s="94"/>
      <c r="D8" s="94"/>
      <c r="E8" s="94"/>
      <c r="F8" s="94"/>
      <c r="G8" s="95"/>
      <c r="H8" s="61"/>
      <c r="I8" s="104"/>
      <c r="J8" s="104"/>
      <c r="K8" s="8">
        <f>1501.39/65*NbUH</f>
        <v>0</v>
      </c>
      <c r="L8" s="9"/>
      <c r="M8" s="10">
        <v>5.5E-2</v>
      </c>
      <c r="N8" s="39">
        <f>(K8+L8)*(1+M8)</f>
        <v>0</v>
      </c>
      <c r="P8">
        <f>K8/65</f>
        <v>0</v>
      </c>
    </row>
    <row r="9" spans="2:16" x14ac:dyDescent="0.2">
      <c r="B9" s="108" t="s">
        <v>15</v>
      </c>
      <c r="C9" s="94"/>
      <c r="D9" s="94"/>
      <c r="E9" s="94"/>
      <c r="F9" s="94"/>
      <c r="G9" s="95"/>
      <c r="H9" s="61"/>
      <c r="I9" s="104"/>
      <c r="J9" s="104"/>
      <c r="K9" s="8">
        <f>'Tableau de bord'!C7</f>
        <v>0</v>
      </c>
      <c r="L9" s="9"/>
      <c r="M9" s="10">
        <v>5.5E-2</v>
      </c>
      <c r="N9" s="39">
        <f t="shared" ref="N9:N14" si="0">(K9+L9)*(1+M9)</f>
        <v>0</v>
      </c>
    </row>
    <row r="10" spans="2:16" x14ac:dyDescent="0.2">
      <c r="B10" s="115" t="s">
        <v>55</v>
      </c>
      <c r="C10" s="114"/>
      <c r="D10" s="114"/>
      <c r="E10" s="114"/>
      <c r="F10" s="114"/>
      <c r="G10" s="114"/>
      <c r="H10" s="61"/>
      <c r="I10" s="116"/>
      <c r="J10" s="117"/>
      <c r="K10" s="50">
        <f>'Tableau de bord'!C9</f>
        <v>0</v>
      </c>
      <c r="L10" s="9"/>
      <c r="M10" s="10">
        <v>5.5E-2</v>
      </c>
      <c r="N10" s="39">
        <f t="shared" ref="N10" si="1">(K10+L10)*(1+M10)</f>
        <v>0</v>
      </c>
    </row>
    <row r="11" spans="2:16" x14ac:dyDescent="0.2">
      <c r="B11" s="108" t="s">
        <v>16</v>
      </c>
      <c r="C11" s="94"/>
      <c r="D11" s="94"/>
      <c r="E11" s="94"/>
      <c r="F11" s="94"/>
      <c r="G11" s="95"/>
      <c r="H11" s="61"/>
      <c r="I11" s="104"/>
      <c r="J11" s="104"/>
      <c r="K11" s="9"/>
      <c r="L11" s="8">
        <f>337.03/65*NbUH</f>
        <v>0</v>
      </c>
      <c r="M11" s="10">
        <v>5.5E-2</v>
      </c>
      <c r="N11" s="39">
        <f t="shared" si="0"/>
        <v>0</v>
      </c>
    </row>
    <row r="12" spans="2:16" x14ac:dyDescent="0.2">
      <c r="B12" s="113" t="s">
        <v>22</v>
      </c>
      <c r="C12" s="114"/>
      <c r="D12" s="114"/>
      <c r="E12" s="114"/>
      <c r="F12" s="114"/>
      <c r="G12" s="114"/>
      <c r="H12" s="62">
        <f>$G$5</f>
        <v>0</v>
      </c>
      <c r="I12" s="100">
        <v>0.61770000000000003</v>
      </c>
      <c r="J12" s="100"/>
      <c r="K12" s="8">
        <f>H12*I12</f>
        <v>0</v>
      </c>
      <c r="L12" s="9"/>
      <c r="M12" s="10">
        <v>5.5E-2</v>
      </c>
      <c r="N12" s="39">
        <f t="shared" si="0"/>
        <v>0</v>
      </c>
    </row>
    <row r="13" spans="2:16" x14ac:dyDescent="0.2">
      <c r="B13" s="93" t="s">
        <v>23</v>
      </c>
      <c r="C13" s="94"/>
      <c r="D13" s="94"/>
      <c r="E13" s="94"/>
      <c r="F13" s="94"/>
      <c r="G13" s="95"/>
      <c r="H13" s="62">
        <f t="shared" ref="H13:H14" si="2">$G$5</f>
        <v>0</v>
      </c>
      <c r="I13" s="100">
        <v>0.82930000000000004</v>
      </c>
      <c r="J13" s="100"/>
      <c r="K13" s="9"/>
      <c r="L13" s="8">
        <f>H13*I13</f>
        <v>0</v>
      </c>
      <c r="M13" s="10">
        <v>5.5E-2</v>
      </c>
      <c r="N13" s="39">
        <f t="shared" si="0"/>
        <v>0</v>
      </c>
    </row>
    <row r="14" spans="2:16" s="40" customFormat="1" ht="16" customHeight="1" x14ac:dyDescent="0.2">
      <c r="B14" s="93" t="s">
        <v>24</v>
      </c>
      <c r="C14" s="94"/>
      <c r="D14" s="94"/>
      <c r="E14" s="94"/>
      <c r="F14" s="94"/>
      <c r="G14" s="95"/>
      <c r="H14" s="62">
        <f t="shared" si="2"/>
        <v>0</v>
      </c>
      <c r="I14" s="100">
        <v>8.6199999999999999E-2</v>
      </c>
      <c r="J14" s="100"/>
      <c r="K14" s="9"/>
      <c r="L14" s="8">
        <f>H14*I14</f>
        <v>0</v>
      </c>
      <c r="M14" s="10">
        <v>5.5E-2</v>
      </c>
      <c r="N14" s="39">
        <f t="shared" si="0"/>
        <v>0</v>
      </c>
    </row>
    <row r="15" spans="2:16" x14ac:dyDescent="0.2">
      <c r="B15" s="110" t="s">
        <v>36</v>
      </c>
      <c r="C15" s="111"/>
      <c r="D15" s="111"/>
      <c r="E15" s="111"/>
      <c r="F15" s="111"/>
      <c r="G15" s="111"/>
      <c r="H15" s="63"/>
      <c r="I15" s="112"/>
      <c r="J15" s="112"/>
      <c r="K15" s="53">
        <f>SUM(K8:K14)</f>
        <v>0</v>
      </c>
      <c r="L15" s="53">
        <f>SUM(L8:L14)</f>
        <v>0</v>
      </c>
      <c r="M15" s="54"/>
      <c r="N15" s="55">
        <f>SUM(N8:N14)</f>
        <v>0</v>
      </c>
    </row>
    <row r="16" spans="2:16" x14ac:dyDescent="0.2">
      <c r="B16" s="93" t="s">
        <v>48</v>
      </c>
      <c r="C16" s="94"/>
      <c r="D16" s="94"/>
      <c r="E16" s="94"/>
      <c r="F16" s="94"/>
      <c r="G16" s="95"/>
      <c r="H16" s="61"/>
      <c r="I16" s="109"/>
      <c r="J16" s="109"/>
      <c r="K16" s="9"/>
      <c r="L16" s="9"/>
      <c r="M16" s="9"/>
      <c r="N16" s="11"/>
    </row>
    <row r="17" spans="2:14" x14ac:dyDescent="0.2">
      <c r="B17" s="108" t="s">
        <v>14</v>
      </c>
      <c r="C17" s="94"/>
      <c r="D17" s="94"/>
      <c r="E17" s="94"/>
      <c r="F17" s="94"/>
      <c r="G17" s="95"/>
      <c r="H17" s="61"/>
      <c r="I17" s="109"/>
      <c r="J17" s="109"/>
      <c r="K17" s="8">
        <f>976.93/65*NbUH</f>
        <v>0</v>
      </c>
      <c r="L17" s="9"/>
      <c r="M17" s="10">
        <v>0.1</v>
      </c>
      <c r="N17" s="39">
        <f t="shared" ref="N17:N22" si="3">(K17+L17)*(1+M17)</f>
        <v>0</v>
      </c>
    </row>
    <row r="18" spans="2:14" x14ac:dyDescent="0.2">
      <c r="B18" s="108" t="s">
        <v>16</v>
      </c>
      <c r="C18" s="94"/>
      <c r="D18" s="94"/>
      <c r="E18" s="94"/>
      <c r="F18" s="94"/>
      <c r="G18" s="95"/>
      <c r="H18" s="61"/>
      <c r="I18" s="109"/>
      <c r="J18" s="109"/>
      <c r="K18" s="9"/>
      <c r="L18" s="8">
        <f>267.8/65*NbUH</f>
        <v>0</v>
      </c>
      <c r="M18" s="10">
        <v>0.1</v>
      </c>
      <c r="N18" s="39">
        <f t="shared" si="3"/>
        <v>0</v>
      </c>
    </row>
    <row r="19" spans="2:14" x14ac:dyDescent="0.2">
      <c r="B19" s="108" t="s">
        <v>18</v>
      </c>
      <c r="C19" s="94"/>
      <c r="D19" s="94"/>
      <c r="E19" s="94"/>
      <c r="F19" s="94"/>
      <c r="G19" s="95"/>
      <c r="H19" s="61"/>
      <c r="I19" s="109"/>
      <c r="J19" s="109"/>
      <c r="K19" s="8">
        <f>1458.8/65*NbUH</f>
        <v>0</v>
      </c>
      <c r="L19" s="9"/>
      <c r="M19" s="10">
        <v>0.1</v>
      </c>
      <c r="N19" s="39">
        <f t="shared" si="3"/>
        <v>0</v>
      </c>
    </row>
    <row r="20" spans="2:14" x14ac:dyDescent="0.2">
      <c r="B20" s="93" t="s">
        <v>22</v>
      </c>
      <c r="C20" s="94"/>
      <c r="D20" s="94"/>
      <c r="E20" s="94"/>
      <c r="F20" s="94"/>
      <c r="G20" s="95"/>
      <c r="H20" s="62">
        <f t="shared" ref="H20:H22" si="4">$G$5</f>
        <v>0</v>
      </c>
      <c r="I20" s="100">
        <v>0.3548</v>
      </c>
      <c r="J20" s="100"/>
      <c r="K20" s="8">
        <f>H20*I20</f>
        <v>0</v>
      </c>
      <c r="L20" s="9"/>
      <c r="M20" s="10">
        <v>0.1</v>
      </c>
      <c r="N20" s="39">
        <f t="shared" si="3"/>
        <v>0</v>
      </c>
    </row>
    <row r="21" spans="2:14" x14ac:dyDescent="0.2">
      <c r="B21" s="93" t="s">
        <v>23</v>
      </c>
      <c r="C21" s="94"/>
      <c r="D21" s="94"/>
      <c r="E21" s="94"/>
      <c r="F21" s="94"/>
      <c r="G21" s="95"/>
      <c r="H21" s="62">
        <f t="shared" si="4"/>
        <v>0</v>
      </c>
      <c r="I21" s="100">
        <v>0.69889999999999997</v>
      </c>
      <c r="J21" s="100"/>
      <c r="K21" s="9"/>
      <c r="L21" s="8">
        <f>H21*I21</f>
        <v>0</v>
      </c>
      <c r="M21" s="10">
        <v>0.1</v>
      </c>
      <c r="N21" s="39">
        <f t="shared" si="3"/>
        <v>0</v>
      </c>
    </row>
    <row r="22" spans="2:14" ht="16" customHeight="1" x14ac:dyDescent="0.2">
      <c r="B22" s="93" t="s">
        <v>25</v>
      </c>
      <c r="C22" s="94"/>
      <c r="D22" s="94"/>
      <c r="E22" s="94"/>
      <c r="F22" s="94"/>
      <c r="G22" s="95"/>
      <c r="H22" s="62">
        <f t="shared" si="4"/>
        <v>0</v>
      </c>
      <c r="I22" s="100">
        <v>0.78669999999999995</v>
      </c>
      <c r="J22" s="100"/>
      <c r="K22" s="8">
        <f>H22*I22</f>
        <v>0</v>
      </c>
      <c r="L22" s="9"/>
      <c r="M22" s="10">
        <v>0.1</v>
      </c>
      <c r="N22" s="39">
        <f t="shared" si="3"/>
        <v>0</v>
      </c>
    </row>
    <row r="23" spans="2:14" x14ac:dyDescent="0.2">
      <c r="B23" s="105" t="s">
        <v>49</v>
      </c>
      <c r="C23" s="106"/>
      <c r="D23" s="106"/>
      <c r="E23" s="106"/>
      <c r="F23" s="106"/>
      <c r="G23" s="106"/>
      <c r="H23" s="107"/>
      <c r="I23" s="99"/>
      <c r="J23" s="99"/>
      <c r="K23" s="76">
        <f>SUM(K17:K22)</f>
        <v>0</v>
      </c>
      <c r="L23" s="53">
        <f>SUM(L17:L22)</f>
        <v>0</v>
      </c>
      <c r="M23" s="54"/>
      <c r="N23" s="55">
        <f>SUM(N17:N22)</f>
        <v>0</v>
      </c>
    </row>
    <row r="24" spans="2:14" x14ac:dyDescent="0.2">
      <c r="B24" s="101" t="s">
        <v>50</v>
      </c>
      <c r="C24" s="102"/>
      <c r="D24" s="102"/>
      <c r="E24" s="102"/>
      <c r="F24" s="102"/>
      <c r="G24" s="103"/>
      <c r="H24" s="64"/>
      <c r="I24" s="104"/>
      <c r="J24" s="104"/>
      <c r="K24" s="9"/>
      <c r="L24" s="9"/>
      <c r="M24" s="9"/>
      <c r="N24" s="11"/>
    </row>
    <row r="25" spans="2:14" x14ac:dyDescent="0.2">
      <c r="B25" s="93" t="s">
        <v>26</v>
      </c>
      <c r="C25" s="94"/>
      <c r="D25" s="94"/>
      <c r="E25" s="94"/>
      <c r="F25" s="94"/>
      <c r="G25" s="95"/>
      <c r="H25" s="62">
        <f t="shared" ref="H25:H26" si="5">$G$5</f>
        <v>0</v>
      </c>
      <c r="I25" s="96">
        <v>0.28000000000000003</v>
      </c>
      <c r="J25" s="96"/>
      <c r="K25" s="9"/>
      <c r="L25" s="8">
        <f>H25*I25</f>
        <v>0</v>
      </c>
      <c r="M25" s="10">
        <v>5.5E-2</v>
      </c>
      <c r="N25" s="39">
        <f t="shared" ref="N25:N26" si="6">(K25+L25)*(1+M25)</f>
        <v>0</v>
      </c>
    </row>
    <row r="26" spans="2:14" ht="16" customHeight="1" x14ac:dyDescent="0.2">
      <c r="B26" s="93" t="s">
        <v>27</v>
      </c>
      <c r="C26" s="94"/>
      <c r="D26" s="94"/>
      <c r="E26" s="94"/>
      <c r="F26" s="94"/>
      <c r="G26" s="95"/>
      <c r="H26" s="62">
        <f t="shared" si="5"/>
        <v>0</v>
      </c>
      <c r="I26" s="96">
        <v>0.16</v>
      </c>
      <c r="J26" s="96"/>
      <c r="K26" s="9"/>
      <c r="L26" s="8">
        <f>H26*I26</f>
        <v>0</v>
      </c>
      <c r="M26" s="10">
        <v>0.1</v>
      </c>
      <c r="N26" s="39">
        <f t="shared" si="6"/>
        <v>0</v>
      </c>
    </row>
    <row r="27" spans="2:14" ht="17" customHeight="1" thickBot="1" x14ac:dyDescent="0.25">
      <c r="B27" s="97" t="s">
        <v>51</v>
      </c>
      <c r="C27" s="98"/>
      <c r="D27" s="98"/>
      <c r="E27" s="98"/>
      <c r="F27" s="98"/>
      <c r="G27" s="98"/>
      <c r="H27" s="63"/>
      <c r="I27" s="99"/>
      <c r="J27" s="99"/>
      <c r="K27" s="54"/>
      <c r="L27" s="53">
        <f>SUM(L25:L26)</f>
        <v>0</v>
      </c>
      <c r="M27" s="56"/>
      <c r="N27" s="69">
        <f>SUM(N25:N26)</f>
        <v>0</v>
      </c>
    </row>
    <row r="28" spans="2:14" ht="17" thickBot="1" x14ac:dyDescent="0.25">
      <c r="B28" s="90" t="s">
        <v>52</v>
      </c>
      <c r="C28" s="91"/>
      <c r="D28" s="91"/>
      <c r="E28" s="91"/>
      <c r="F28" s="91"/>
      <c r="G28" s="91"/>
      <c r="H28" s="65"/>
      <c r="I28" s="92"/>
      <c r="J28" s="92"/>
      <c r="K28" s="57">
        <f>K15+K23+K27</f>
        <v>0</v>
      </c>
      <c r="L28" s="57">
        <f>L15+L23+L27</f>
        <v>0</v>
      </c>
      <c r="M28" s="58"/>
      <c r="N28" s="59">
        <f>N15+N23+N27</f>
        <v>0</v>
      </c>
    </row>
    <row r="29" spans="2:14" ht="17" thickBot="1" x14ac:dyDescent="0.25"/>
    <row r="30" spans="2:14" x14ac:dyDescent="0.2">
      <c r="B30" s="12"/>
      <c r="C30" s="20" t="s">
        <v>28</v>
      </c>
      <c r="D30" s="21" t="s">
        <v>29</v>
      </c>
      <c r="E30" s="2" t="s">
        <v>60</v>
      </c>
      <c r="F30" t="s">
        <v>39</v>
      </c>
    </row>
    <row r="31" spans="2:14" x14ac:dyDescent="0.2">
      <c r="B31" s="13" t="s">
        <v>1</v>
      </c>
      <c r="C31" s="14">
        <f>K12+L13+L14+K20+L21+K22+L25+L26</f>
        <v>0</v>
      </c>
      <c r="D31" s="19">
        <f>(K12+L13+L14+L25)*1.055+(K20+L21+K22+L26)*1.1</f>
        <v>0</v>
      </c>
      <c r="E31" s="41" t="str">
        <f>IF(D33&lt;&gt;0,D31/D33,"")</f>
        <v/>
      </c>
      <c r="F31" s="42">
        <f>IF(NbUH&lt;&gt;0,D31/NbUH,0)</f>
        <v>0</v>
      </c>
    </row>
    <row r="32" spans="2:14" x14ac:dyDescent="0.2">
      <c r="B32" s="13" t="s">
        <v>0</v>
      </c>
      <c r="C32" s="14">
        <f>K8+K9+K10+L11+K17+L18+K19</f>
        <v>0</v>
      </c>
      <c r="D32" s="19">
        <f>(K8+K9+K10+L11)*1.055+(K17+L18+K19)*1.1</f>
        <v>0</v>
      </c>
      <c r="E32" s="41" t="str">
        <f>IF(D33&lt;&gt;0,D32/D33,"")</f>
        <v/>
      </c>
      <c r="F32" s="42">
        <f>IF(NbUH&lt;&gt;0,D32/NbUH,0)</f>
        <v>0</v>
      </c>
    </row>
    <row r="33" spans="2:6" ht="17" thickBot="1" x14ac:dyDescent="0.25">
      <c r="B33" s="15" t="s">
        <v>59</v>
      </c>
      <c r="C33" s="16">
        <f>C31+C32</f>
        <v>0</v>
      </c>
      <c r="D33" s="17">
        <f>D31+D32</f>
        <v>0</v>
      </c>
      <c r="F33" s="42">
        <f>IF(NbUH&lt;&gt;0,D33/NbUH,0)</f>
        <v>0</v>
      </c>
    </row>
  </sheetData>
  <mergeCells count="52">
    <mergeCell ref="C2:I2"/>
    <mergeCell ref="D3:E3"/>
    <mergeCell ref="G4:I4"/>
    <mergeCell ref="J4:N4"/>
    <mergeCell ref="G5:I5"/>
    <mergeCell ref="J5:N5"/>
    <mergeCell ref="B6:G6"/>
    <mergeCell ref="I6:J6"/>
    <mergeCell ref="B7:G7"/>
    <mergeCell ref="I7:J7"/>
    <mergeCell ref="B8:G8"/>
    <mergeCell ref="I8:J8"/>
    <mergeCell ref="B9:G9"/>
    <mergeCell ref="I9:J9"/>
    <mergeCell ref="B11:G11"/>
    <mergeCell ref="I11:J11"/>
    <mergeCell ref="B12:G12"/>
    <mergeCell ref="I12:J12"/>
    <mergeCell ref="B10:G10"/>
    <mergeCell ref="I10:J10"/>
    <mergeCell ref="B13:G13"/>
    <mergeCell ref="I13:J13"/>
    <mergeCell ref="B14:G14"/>
    <mergeCell ref="I14:J14"/>
    <mergeCell ref="B15:G15"/>
    <mergeCell ref="I15:J15"/>
    <mergeCell ref="B16:G16"/>
    <mergeCell ref="I16:J16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I23:J23"/>
    <mergeCell ref="B24:G24"/>
    <mergeCell ref="I24:J24"/>
    <mergeCell ref="B23:H23"/>
    <mergeCell ref="B28:G28"/>
    <mergeCell ref="I28:J28"/>
    <mergeCell ref="B25:G25"/>
    <mergeCell ref="I25:J25"/>
    <mergeCell ref="B26:G26"/>
    <mergeCell ref="I26:J26"/>
    <mergeCell ref="B27:G27"/>
    <mergeCell ref="I27:J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09A4C-E6B5-CF49-AA7B-4CDDF484CC6F}">
  <dimension ref="B1:N33"/>
  <sheetViews>
    <sheetView tabSelected="1" topLeftCell="A4" zoomScaleNormal="100" workbookViewId="0">
      <selection activeCell="O39" sqref="O39"/>
    </sheetView>
    <sheetView workbookViewId="1">
      <selection activeCell="E5" sqref="E5"/>
    </sheetView>
  </sheetViews>
  <sheetFormatPr baseColWidth="10" defaultRowHeight="16" x14ac:dyDescent="0.2"/>
  <cols>
    <col min="1" max="1" width="3.33203125" customWidth="1"/>
    <col min="2" max="2" width="15.83203125" customWidth="1"/>
    <col min="3" max="4" width="13.33203125" customWidth="1"/>
    <col min="8" max="8" width="10.83203125" style="25"/>
    <col min="9" max="9" width="5.83203125" customWidth="1"/>
    <col min="10" max="10" width="9.1640625" customWidth="1"/>
    <col min="11" max="11" width="14.5" customWidth="1"/>
  </cols>
  <sheetData>
    <row r="1" spans="2:14" ht="20" customHeight="1" thickBot="1" x14ac:dyDescent="0.25"/>
    <row r="2" spans="2:14" s="1" customFormat="1" ht="25" customHeight="1" x14ac:dyDescent="0.2">
      <c r="B2" s="28" t="s">
        <v>31</v>
      </c>
      <c r="C2" s="127">
        <f>Copropriété</f>
        <v>0</v>
      </c>
      <c r="D2" s="128"/>
      <c r="E2" s="128"/>
      <c r="F2" s="128"/>
      <c r="G2" s="128"/>
      <c r="H2" s="128"/>
      <c r="I2" s="128"/>
      <c r="J2" s="45"/>
      <c r="K2" s="45"/>
      <c r="L2" s="45"/>
      <c r="M2" s="30" t="s">
        <v>2</v>
      </c>
      <c r="N2" s="31" t="s">
        <v>37</v>
      </c>
    </row>
    <row r="3" spans="2:14" ht="20" customHeight="1" thickBot="1" x14ac:dyDescent="0.25">
      <c r="B3" s="29" t="s">
        <v>38</v>
      </c>
      <c r="C3" s="52">
        <f>IF((Consommation_2022_1+Consommation_2022_2)&lt;=80,1,IF((Consommation_2022_1+Consommation_2022_2)&lt;=800,2,3))</f>
        <v>1</v>
      </c>
      <c r="D3" s="129" t="s">
        <v>30</v>
      </c>
      <c r="E3" s="130"/>
      <c r="F3" s="26">
        <f>NbUH</f>
        <v>0</v>
      </c>
      <c r="G3" s="67"/>
      <c r="H3" s="68"/>
      <c r="I3" s="67"/>
      <c r="J3" s="24"/>
      <c r="K3" s="24"/>
      <c r="L3" s="24"/>
      <c r="M3" s="24"/>
      <c r="N3" s="32">
        <v>44923</v>
      </c>
    </row>
    <row r="4" spans="2:14" ht="30" customHeight="1" x14ac:dyDescent="0.2">
      <c r="B4" s="22" t="s">
        <v>19</v>
      </c>
      <c r="C4" s="23" t="s">
        <v>3</v>
      </c>
      <c r="D4" s="23" t="s">
        <v>4</v>
      </c>
      <c r="E4" s="23" t="s">
        <v>5</v>
      </c>
      <c r="F4" s="23" t="s">
        <v>6</v>
      </c>
      <c r="G4" s="131" t="s">
        <v>7</v>
      </c>
      <c r="H4" s="131"/>
      <c r="I4" s="131"/>
      <c r="J4" s="132" t="s">
        <v>8</v>
      </c>
      <c r="K4" s="132"/>
      <c r="L4" s="132"/>
      <c r="M4" s="132"/>
      <c r="N4" s="133"/>
    </row>
    <row r="5" spans="2:14" s="1" customFormat="1" ht="26" customHeight="1" x14ac:dyDescent="0.2">
      <c r="B5" s="3"/>
      <c r="C5" s="4" t="s">
        <v>9</v>
      </c>
      <c r="D5" s="27">
        <v>44884</v>
      </c>
      <c r="E5" s="33">
        <f>F5+G5</f>
        <v>0</v>
      </c>
      <c r="F5" s="18">
        <f>'2022-1'!E5</f>
        <v>0</v>
      </c>
      <c r="G5" s="134">
        <f>'Tableau de bord'!C6</f>
        <v>0</v>
      </c>
      <c r="H5" s="134"/>
      <c r="I5" s="134"/>
      <c r="J5" s="135">
        <f>$G$5</f>
        <v>0</v>
      </c>
      <c r="K5" s="136"/>
      <c r="L5" s="136"/>
      <c r="M5" s="136"/>
      <c r="N5" s="137"/>
    </row>
    <row r="6" spans="2:14" s="2" customFormat="1" ht="45" customHeight="1" x14ac:dyDescent="0.2">
      <c r="B6" s="118"/>
      <c r="C6" s="119"/>
      <c r="D6" s="119"/>
      <c r="E6" s="119"/>
      <c r="F6" s="119"/>
      <c r="G6" s="120"/>
      <c r="H6" s="23" t="s">
        <v>10</v>
      </c>
      <c r="I6" s="121" t="s">
        <v>20</v>
      </c>
      <c r="J6" s="122"/>
      <c r="K6" s="5" t="s">
        <v>21</v>
      </c>
      <c r="L6" s="4" t="s">
        <v>11</v>
      </c>
      <c r="M6" s="4" t="s">
        <v>12</v>
      </c>
      <c r="N6" s="38" t="s">
        <v>35</v>
      </c>
    </row>
    <row r="7" spans="2:14" x14ac:dyDescent="0.2">
      <c r="B7" s="123" t="s">
        <v>13</v>
      </c>
      <c r="C7" s="124"/>
      <c r="D7" s="124"/>
      <c r="E7" s="124"/>
      <c r="F7" s="124"/>
      <c r="G7" s="125"/>
      <c r="H7" s="60"/>
      <c r="I7" s="126"/>
      <c r="J7" s="126"/>
      <c r="K7" s="6"/>
      <c r="L7" s="6"/>
      <c r="M7" s="6"/>
      <c r="N7" s="7"/>
    </row>
    <row r="8" spans="2:14" x14ac:dyDescent="0.2">
      <c r="B8" s="108" t="s">
        <v>14</v>
      </c>
      <c r="C8" s="94"/>
      <c r="D8" s="94"/>
      <c r="E8" s="94"/>
      <c r="F8" s="94"/>
      <c r="G8" s="95"/>
      <c r="H8" s="61"/>
      <c r="I8" s="104"/>
      <c r="J8" s="104"/>
      <c r="K8" s="50">
        <f>1575.4/65*NbUH</f>
        <v>0</v>
      </c>
      <c r="L8" s="9"/>
      <c r="M8" s="10">
        <v>5.5E-2</v>
      </c>
      <c r="N8" s="39">
        <f>(K8+L8)*(1+M8)</f>
        <v>0</v>
      </c>
    </row>
    <row r="9" spans="2:14" x14ac:dyDescent="0.2">
      <c r="B9" s="108" t="s">
        <v>15</v>
      </c>
      <c r="C9" s="94"/>
      <c r="D9" s="94"/>
      <c r="E9" s="94"/>
      <c r="F9" s="94"/>
      <c r="G9" s="95"/>
      <c r="H9" s="61"/>
      <c r="I9" s="104"/>
      <c r="J9" s="104"/>
      <c r="K9" s="50">
        <f>'Tableau de bord'!C8</f>
        <v>0</v>
      </c>
      <c r="L9" s="9"/>
      <c r="M9" s="10">
        <v>5.5E-2</v>
      </c>
      <c r="N9" s="39">
        <f t="shared" ref="N9:N14" si="0">(K9+L9)*(1+M9)</f>
        <v>0</v>
      </c>
    </row>
    <row r="10" spans="2:14" ht="16" customHeight="1" x14ac:dyDescent="0.2">
      <c r="B10" s="115" t="s">
        <v>55</v>
      </c>
      <c r="C10" s="114"/>
      <c r="D10" s="114"/>
      <c r="E10" s="114"/>
      <c r="F10" s="114"/>
      <c r="G10" s="114"/>
      <c r="H10" s="61"/>
      <c r="I10" s="116"/>
      <c r="J10" s="117"/>
      <c r="K10" s="50">
        <f>'Tableau de bord'!C10</f>
        <v>0</v>
      </c>
      <c r="L10" s="9"/>
      <c r="M10" s="10">
        <v>5.5E-2</v>
      </c>
      <c r="N10" s="39">
        <f t="shared" si="0"/>
        <v>0</v>
      </c>
    </row>
    <row r="11" spans="2:14" x14ac:dyDescent="0.2">
      <c r="B11" s="93" t="s">
        <v>54</v>
      </c>
      <c r="C11" s="94"/>
      <c r="D11" s="94"/>
      <c r="E11" s="94"/>
      <c r="F11" s="94"/>
      <c r="G11" s="95"/>
      <c r="H11" s="61"/>
      <c r="I11" s="104"/>
      <c r="J11" s="104"/>
      <c r="K11" s="9"/>
      <c r="L11" s="8">
        <f>337.03/65*NbUH</f>
        <v>0</v>
      </c>
      <c r="M11" s="10">
        <v>5.5E-2</v>
      </c>
      <c r="N11" s="39">
        <f t="shared" si="0"/>
        <v>0</v>
      </c>
    </row>
    <row r="12" spans="2:14" x14ac:dyDescent="0.2">
      <c r="B12" s="113" t="s">
        <v>22</v>
      </c>
      <c r="C12" s="114"/>
      <c r="D12" s="114"/>
      <c r="E12" s="114"/>
      <c r="F12" s="114"/>
      <c r="G12" s="114"/>
      <c r="H12" s="62">
        <f>$G$5</f>
        <v>0</v>
      </c>
      <c r="I12" s="100">
        <v>0.3347</v>
      </c>
      <c r="J12" s="100"/>
      <c r="K12" s="8">
        <f>H12*I12</f>
        <v>0</v>
      </c>
      <c r="L12" s="9"/>
      <c r="M12" s="10">
        <v>5.5E-2</v>
      </c>
      <c r="N12" s="39">
        <f t="shared" si="0"/>
        <v>0</v>
      </c>
    </row>
    <row r="13" spans="2:14" x14ac:dyDescent="0.2">
      <c r="B13" s="93" t="s">
        <v>23</v>
      </c>
      <c r="C13" s="94"/>
      <c r="D13" s="94"/>
      <c r="E13" s="94"/>
      <c r="F13" s="94"/>
      <c r="G13" s="95"/>
      <c r="H13" s="62">
        <f t="shared" ref="H13:H14" si="1">$G$5</f>
        <v>0</v>
      </c>
      <c r="I13" s="100">
        <v>0.41470000000000001</v>
      </c>
      <c r="J13" s="100"/>
      <c r="K13" s="9"/>
      <c r="L13" s="8">
        <f>H13*I13</f>
        <v>0</v>
      </c>
      <c r="M13" s="10">
        <v>5.5E-2</v>
      </c>
      <c r="N13" s="39">
        <f t="shared" si="0"/>
        <v>0</v>
      </c>
    </row>
    <row r="14" spans="2:14" s="40" customFormat="1" ht="16" customHeight="1" x14ac:dyDescent="0.2">
      <c r="B14" s="93" t="s">
        <v>24</v>
      </c>
      <c r="C14" s="94"/>
      <c r="D14" s="94"/>
      <c r="E14" s="94"/>
      <c r="F14" s="94"/>
      <c r="G14" s="95"/>
      <c r="H14" s="62">
        <f t="shared" si="1"/>
        <v>0</v>
      </c>
      <c r="I14" s="100">
        <v>8.6199999999999999E-2</v>
      </c>
      <c r="J14" s="100"/>
      <c r="K14" s="9"/>
      <c r="L14" s="8">
        <f>H14*I14</f>
        <v>0</v>
      </c>
      <c r="M14" s="10">
        <v>5.5E-2</v>
      </c>
      <c r="N14" s="39">
        <f t="shared" si="0"/>
        <v>0</v>
      </c>
    </row>
    <row r="15" spans="2:14" x14ac:dyDescent="0.2">
      <c r="B15" s="110" t="s">
        <v>36</v>
      </c>
      <c r="C15" s="111"/>
      <c r="D15" s="111"/>
      <c r="E15" s="111"/>
      <c r="F15" s="111"/>
      <c r="G15" s="111"/>
      <c r="H15" s="63"/>
      <c r="I15" s="112"/>
      <c r="J15" s="112"/>
      <c r="K15" s="53">
        <f>SUM(K8:K14)</f>
        <v>0</v>
      </c>
      <c r="L15" s="53">
        <f>SUM(L8:L14)</f>
        <v>0</v>
      </c>
      <c r="M15" s="54"/>
      <c r="N15" s="55">
        <f>SUM(N8:N14)</f>
        <v>0</v>
      </c>
    </row>
    <row r="16" spans="2:14" x14ac:dyDescent="0.2">
      <c r="B16" s="108" t="s">
        <v>17</v>
      </c>
      <c r="C16" s="94"/>
      <c r="D16" s="94"/>
      <c r="E16" s="94"/>
      <c r="F16" s="94"/>
      <c r="G16" s="95"/>
      <c r="H16" s="61"/>
      <c r="I16" s="109"/>
      <c r="J16" s="109"/>
      <c r="K16" s="9"/>
      <c r="L16" s="9"/>
      <c r="M16" s="9"/>
      <c r="N16" s="11"/>
    </row>
    <row r="17" spans="2:14" x14ac:dyDescent="0.2">
      <c r="B17" s="108" t="s">
        <v>14</v>
      </c>
      <c r="C17" s="94"/>
      <c r="D17" s="94"/>
      <c r="E17" s="94"/>
      <c r="F17" s="94"/>
      <c r="G17" s="95"/>
      <c r="H17" s="61"/>
      <c r="I17" s="109"/>
      <c r="J17" s="109"/>
      <c r="K17" s="50">
        <f>993.12/65*NbUH</f>
        <v>0</v>
      </c>
      <c r="L17" s="9"/>
      <c r="M17" s="10">
        <v>0.1</v>
      </c>
      <c r="N17" s="39">
        <f t="shared" ref="N17:N22" si="2">(K17+L17)*(1+M17)</f>
        <v>0</v>
      </c>
    </row>
    <row r="18" spans="2:14" x14ac:dyDescent="0.2">
      <c r="B18" s="108" t="s">
        <v>16</v>
      </c>
      <c r="C18" s="94"/>
      <c r="D18" s="94"/>
      <c r="E18" s="94"/>
      <c r="F18" s="94"/>
      <c r="G18" s="95"/>
      <c r="H18" s="61"/>
      <c r="I18" s="109"/>
      <c r="J18" s="109"/>
      <c r="K18" s="49"/>
      <c r="L18" s="8">
        <f>267.8/65*NbUH</f>
        <v>0</v>
      </c>
      <c r="M18" s="10">
        <v>0.1</v>
      </c>
      <c r="N18" s="39">
        <f t="shared" si="2"/>
        <v>0</v>
      </c>
    </row>
    <row r="19" spans="2:14" x14ac:dyDescent="0.2">
      <c r="B19" s="108" t="s">
        <v>18</v>
      </c>
      <c r="C19" s="94"/>
      <c r="D19" s="94"/>
      <c r="E19" s="94"/>
      <c r="F19" s="94"/>
      <c r="G19" s="95"/>
      <c r="H19" s="61"/>
      <c r="I19" s="109"/>
      <c r="J19" s="109"/>
      <c r="K19" s="50">
        <f>1417.09/65*NbUH</f>
        <v>0</v>
      </c>
      <c r="L19" s="9"/>
      <c r="M19" s="10">
        <v>0.1</v>
      </c>
      <c r="N19" s="39">
        <f t="shared" si="2"/>
        <v>0</v>
      </c>
    </row>
    <row r="20" spans="2:14" x14ac:dyDescent="0.2">
      <c r="B20" s="93" t="s">
        <v>22</v>
      </c>
      <c r="C20" s="94"/>
      <c r="D20" s="94"/>
      <c r="E20" s="94"/>
      <c r="F20" s="94"/>
      <c r="G20" s="95"/>
      <c r="H20" s="62">
        <f t="shared" ref="H20:H22" si="3">$G$5</f>
        <v>0</v>
      </c>
      <c r="I20" s="100">
        <v>0.1855</v>
      </c>
      <c r="J20" s="100"/>
      <c r="K20" s="8">
        <f>H20*I20</f>
        <v>0</v>
      </c>
      <c r="L20" s="9"/>
      <c r="M20" s="10">
        <v>0.1</v>
      </c>
      <c r="N20" s="39">
        <f t="shared" si="2"/>
        <v>0</v>
      </c>
    </row>
    <row r="21" spans="2:14" x14ac:dyDescent="0.2">
      <c r="B21" s="93" t="s">
        <v>23</v>
      </c>
      <c r="C21" s="94"/>
      <c r="D21" s="94"/>
      <c r="E21" s="94"/>
      <c r="F21" s="94"/>
      <c r="G21" s="95"/>
      <c r="H21" s="62">
        <f t="shared" si="3"/>
        <v>0</v>
      </c>
      <c r="I21" s="100">
        <v>0.34939999999999999</v>
      </c>
      <c r="J21" s="100"/>
      <c r="K21" s="9"/>
      <c r="L21" s="8">
        <f>H21*I21</f>
        <v>0</v>
      </c>
      <c r="M21" s="10">
        <v>0.1</v>
      </c>
      <c r="N21" s="39">
        <f t="shared" si="2"/>
        <v>0</v>
      </c>
    </row>
    <row r="22" spans="2:14" ht="16" customHeight="1" x14ac:dyDescent="0.2">
      <c r="B22" s="93" t="s">
        <v>25</v>
      </c>
      <c r="C22" s="94"/>
      <c r="D22" s="94"/>
      <c r="E22" s="94"/>
      <c r="F22" s="94"/>
      <c r="G22" s="95"/>
      <c r="H22" s="62">
        <f t="shared" si="3"/>
        <v>0</v>
      </c>
      <c r="I22" s="100">
        <v>0.42459999999999998</v>
      </c>
      <c r="J22" s="100"/>
      <c r="K22" s="8">
        <f>H22*I22</f>
        <v>0</v>
      </c>
      <c r="L22" s="9"/>
      <c r="M22" s="10">
        <v>0.1</v>
      </c>
      <c r="N22" s="39">
        <f t="shared" si="2"/>
        <v>0</v>
      </c>
    </row>
    <row r="23" spans="2:14" x14ac:dyDescent="0.2">
      <c r="B23" s="105" t="s">
        <v>49</v>
      </c>
      <c r="C23" s="106"/>
      <c r="D23" s="106"/>
      <c r="E23" s="106"/>
      <c r="F23" s="106"/>
      <c r="G23" s="106"/>
      <c r="H23" s="107"/>
      <c r="I23" s="99"/>
      <c r="J23" s="99"/>
      <c r="K23" s="76">
        <f>SUM(K17:K22)</f>
        <v>0</v>
      </c>
      <c r="L23" s="53">
        <f>SUM(L17:L22)</f>
        <v>0</v>
      </c>
      <c r="M23" s="54"/>
      <c r="N23" s="55">
        <f>SUM(N17:N22)</f>
        <v>0</v>
      </c>
    </row>
    <row r="24" spans="2:14" x14ac:dyDescent="0.2">
      <c r="B24" s="138" t="s">
        <v>53</v>
      </c>
      <c r="C24" s="139"/>
      <c r="D24" s="139"/>
      <c r="E24" s="139"/>
      <c r="F24" s="139"/>
      <c r="G24" s="140"/>
      <c r="H24" s="64"/>
      <c r="I24" s="104"/>
      <c r="J24" s="104"/>
      <c r="K24" s="9"/>
      <c r="L24" s="9"/>
      <c r="M24" s="9"/>
      <c r="N24" s="11"/>
    </row>
    <row r="25" spans="2:14" x14ac:dyDescent="0.2">
      <c r="B25" s="93" t="s">
        <v>26</v>
      </c>
      <c r="C25" s="94"/>
      <c r="D25" s="94"/>
      <c r="E25" s="94"/>
      <c r="F25" s="94"/>
      <c r="G25" s="95"/>
      <c r="H25" s="62">
        <f t="shared" ref="H25:H26" si="4">$G$5</f>
        <v>0</v>
      </c>
      <c r="I25" s="96">
        <v>0.28000000000000003</v>
      </c>
      <c r="J25" s="96"/>
      <c r="K25" s="9"/>
      <c r="L25" s="8">
        <f>H25*I25</f>
        <v>0</v>
      </c>
      <c r="M25" s="10">
        <v>5.5E-2</v>
      </c>
      <c r="N25" s="39">
        <f t="shared" ref="N25:N26" si="5">(K25+L25)*(1+M25)</f>
        <v>0</v>
      </c>
    </row>
    <row r="26" spans="2:14" ht="16" customHeight="1" x14ac:dyDescent="0.2">
      <c r="B26" s="93" t="s">
        <v>27</v>
      </c>
      <c r="C26" s="94"/>
      <c r="D26" s="94"/>
      <c r="E26" s="94"/>
      <c r="F26" s="94"/>
      <c r="G26" s="95"/>
      <c r="H26" s="62">
        <f t="shared" si="4"/>
        <v>0</v>
      </c>
      <c r="I26" s="96">
        <v>0.16</v>
      </c>
      <c r="J26" s="96"/>
      <c r="K26" s="9"/>
      <c r="L26" s="8">
        <f>H26*I26</f>
        <v>0</v>
      </c>
      <c r="M26" s="10">
        <v>0.1</v>
      </c>
      <c r="N26" s="39">
        <f t="shared" si="5"/>
        <v>0</v>
      </c>
    </row>
    <row r="27" spans="2:14" ht="17" customHeight="1" thickBot="1" x14ac:dyDescent="0.25">
      <c r="B27" s="97" t="s">
        <v>51</v>
      </c>
      <c r="C27" s="98"/>
      <c r="D27" s="98"/>
      <c r="E27" s="98"/>
      <c r="F27" s="98"/>
      <c r="G27" s="98"/>
      <c r="H27" s="63"/>
      <c r="I27" s="99"/>
      <c r="J27" s="99"/>
      <c r="K27" s="54"/>
      <c r="L27" s="53">
        <f>SUM(L25:L26)</f>
        <v>0</v>
      </c>
      <c r="M27" s="56"/>
      <c r="N27" s="69">
        <f>SUM(N25:N26)</f>
        <v>0</v>
      </c>
    </row>
    <row r="28" spans="2:14" ht="17" thickBot="1" x14ac:dyDescent="0.25">
      <c r="B28" s="90" t="s">
        <v>52</v>
      </c>
      <c r="C28" s="91"/>
      <c r="D28" s="91"/>
      <c r="E28" s="91"/>
      <c r="F28" s="91"/>
      <c r="G28" s="91"/>
      <c r="H28" s="65"/>
      <c r="I28" s="92"/>
      <c r="J28" s="92"/>
      <c r="K28" s="57">
        <f>K15+K23+K27</f>
        <v>0</v>
      </c>
      <c r="L28" s="57">
        <f>L15+L23+L27</f>
        <v>0</v>
      </c>
      <c r="M28" s="58"/>
      <c r="N28" s="59">
        <f>N15+N23+N27</f>
        <v>0</v>
      </c>
    </row>
    <row r="29" spans="2:14" ht="17" thickBot="1" x14ac:dyDescent="0.25"/>
    <row r="30" spans="2:14" x14ac:dyDescent="0.2">
      <c r="B30" s="12"/>
      <c r="C30" s="20" t="s">
        <v>28</v>
      </c>
      <c r="D30" s="21" t="s">
        <v>29</v>
      </c>
      <c r="E30" s="2" t="s">
        <v>60</v>
      </c>
      <c r="F30" t="s">
        <v>39</v>
      </c>
    </row>
    <row r="31" spans="2:14" x14ac:dyDescent="0.2">
      <c r="B31" s="13" t="s">
        <v>1</v>
      </c>
      <c r="C31" s="14">
        <f>K12+L13+L14+K20+L21+K22+L25+L26</f>
        <v>0</v>
      </c>
      <c r="D31" s="19">
        <f>(K12+L13+L14+L25)*1.055+(K20+L21+K22+L26)*1.1</f>
        <v>0</v>
      </c>
      <c r="E31" s="41" t="str">
        <f>IF(D33&lt;&gt;0,D31/D33,"")</f>
        <v/>
      </c>
      <c r="F31" s="42">
        <f>IF(NbUH&lt;&gt;0,D31/NbUH,0)</f>
        <v>0</v>
      </c>
    </row>
    <row r="32" spans="2:14" x14ac:dyDescent="0.2">
      <c r="B32" s="13" t="s">
        <v>0</v>
      </c>
      <c r="C32" s="14">
        <f>K8+K9+K10+L11+K17+L18+K19</f>
        <v>0</v>
      </c>
      <c r="D32" s="19">
        <f>(K8+K9+K10+L11)*1.055+(K17+L18+K19)*1.1</f>
        <v>0</v>
      </c>
      <c r="E32" s="41" t="str">
        <f>IF(D33&lt;&gt;0,D32/D33,"")</f>
        <v/>
      </c>
      <c r="F32" s="42">
        <f>IF(NbUH&lt;&gt;0,D32/NbUH,0)</f>
        <v>0</v>
      </c>
    </row>
    <row r="33" spans="2:6" ht="17" thickBot="1" x14ac:dyDescent="0.25">
      <c r="B33" s="15" t="s">
        <v>59</v>
      </c>
      <c r="C33" s="16">
        <f>C31+C32</f>
        <v>0</v>
      </c>
      <c r="D33" s="17">
        <f>D31+D32</f>
        <v>0</v>
      </c>
      <c r="F33" s="42">
        <f>IF(NbUH&lt;&gt;0,D33/NbUH,0)</f>
        <v>0</v>
      </c>
    </row>
  </sheetData>
  <mergeCells count="52">
    <mergeCell ref="D3:E3"/>
    <mergeCell ref="G4:I4"/>
    <mergeCell ref="J4:N4"/>
    <mergeCell ref="G5:I5"/>
    <mergeCell ref="J5:N5"/>
    <mergeCell ref="B6:G6"/>
    <mergeCell ref="I6:J6"/>
    <mergeCell ref="B7:G7"/>
    <mergeCell ref="I7:J7"/>
    <mergeCell ref="B8:G8"/>
    <mergeCell ref="I8:J8"/>
    <mergeCell ref="B9:G9"/>
    <mergeCell ref="I9:J9"/>
    <mergeCell ref="B11:G11"/>
    <mergeCell ref="I11:J11"/>
    <mergeCell ref="B12:G12"/>
    <mergeCell ref="I12:J12"/>
    <mergeCell ref="B13:G13"/>
    <mergeCell ref="I13:J13"/>
    <mergeCell ref="B14:G14"/>
    <mergeCell ref="I14:J14"/>
    <mergeCell ref="B15:G15"/>
    <mergeCell ref="I15:J15"/>
    <mergeCell ref="B16:G16"/>
    <mergeCell ref="I16:J16"/>
    <mergeCell ref="B17:G17"/>
    <mergeCell ref="I17:J17"/>
    <mergeCell ref="B18:G18"/>
    <mergeCell ref="I18:J18"/>
    <mergeCell ref="I24:J24"/>
    <mergeCell ref="B19:G19"/>
    <mergeCell ref="I19:J19"/>
    <mergeCell ref="B20:G20"/>
    <mergeCell ref="I20:J20"/>
    <mergeCell ref="B21:G21"/>
    <mergeCell ref="I21:J21"/>
    <mergeCell ref="B28:G28"/>
    <mergeCell ref="I28:J28"/>
    <mergeCell ref="C2:I2"/>
    <mergeCell ref="B10:G10"/>
    <mergeCell ref="I10:J10"/>
    <mergeCell ref="B25:G25"/>
    <mergeCell ref="I25:J25"/>
    <mergeCell ref="B26:G26"/>
    <mergeCell ref="I26:J26"/>
    <mergeCell ref="B27:G27"/>
    <mergeCell ref="I27:J27"/>
    <mergeCell ref="B22:G22"/>
    <mergeCell ref="I22:J22"/>
    <mergeCell ref="B23:H23"/>
    <mergeCell ref="I23:J23"/>
    <mergeCell ref="B24:G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260B-5BFA-B74E-BAAF-E7522D4C5641}">
  <dimension ref="B1:N37"/>
  <sheetViews>
    <sheetView topLeftCell="A7" zoomScaleNormal="100" workbookViewId="0">
      <selection activeCell="L23" sqref="L23"/>
    </sheetView>
    <sheetView workbookViewId="1">
      <selection activeCell="I23" sqref="I23:J23"/>
    </sheetView>
  </sheetViews>
  <sheetFormatPr baseColWidth="10" defaultRowHeight="16" x14ac:dyDescent="0.2"/>
  <cols>
    <col min="1" max="1" width="3.33203125" customWidth="1"/>
    <col min="2" max="2" width="15.83203125" customWidth="1"/>
    <col min="3" max="4" width="13.33203125" customWidth="1"/>
    <col min="8" max="8" width="10.83203125" style="25"/>
    <col min="9" max="9" width="5.83203125" customWidth="1"/>
    <col min="10" max="10" width="9.1640625" customWidth="1"/>
    <col min="11" max="11" width="14.5" customWidth="1"/>
  </cols>
  <sheetData>
    <row r="1" spans="2:14" ht="20" customHeight="1" thickBot="1" x14ac:dyDescent="0.25"/>
    <row r="2" spans="2:14" s="1" customFormat="1" ht="25" customHeight="1" x14ac:dyDescent="0.2">
      <c r="B2" s="28" t="s">
        <v>31</v>
      </c>
      <c r="C2" s="127">
        <f>Copropriété</f>
        <v>0</v>
      </c>
      <c r="D2" s="128"/>
      <c r="E2" s="128"/>
      <c r="F2" s="128"/>
      <c r="G2" s="128"/>
      <c r="H2" s="128"/>
      <c r="I2" s="128"/>
      <c r="J2" s="45"/>
      <c r="K2" s="45"/>
      <c r="L2" s="45"/>
      <c r="M2" s="30" t="s">
        <v>67</v>
      </c>
      <c r="N2" s="31" t="s">
        <v>34</v>
      </c>
    </row>
    <row r="3" spans="2:14" ht="20" customHeight="1" thickBot="1" x14ac:dyDescent="0.25">
      <c r="B3" s="29" t="s">
        <v>38</v>
      </c>
      <c r="C3" s="52">
        <f>IF((Consommation_2022_1+Consommation_2022_2)&lt;=80,1,IF((Consommation_2022_1+Consommation_2022_2)&lt;=800,2,3))</f>
        <v>1</v>
      </c>
      <c r="D3" s="129" t="s">
        <v>30</v>
      </c>
      <c r="E3" s="130"/>
      <c r="F3" s="26">
        <f>NbUH</f>
        <v>0</v>
      </c>
      <c r="G3" s="67"/>
      <c r="H3" s="68"/>
      <c r="I3" s="67"/>
      <c r="J3" s="24"/>
      <c r="K3" s="24"/>
      <c r="L3" s="24"/>
      <c r="M3" s="24"/>
      <c r="N3" s="32">
        <v>45064</v>
      </c>
    </row>
    <row r="4" spans="2:14" ht="30" customHeight="1" x14ac:dyDescent="0.2">
      <c r="B4" s="22" t="s">
        <v>19</v>
      </c>
      <c r="C4" s="23" t="s">
        <v>3</v>
      </c>
      <c r="D4" s="23" t="s">
        <v>4</v>
      </c>
      <c r="E4" s="23" t="s">
        <v>5</v>
      </c>
      <c r="F4" s="23" t="s">
        <v>6</v>
      </c>
      <c r="G4" s="131" t="s">
        <v>7</v>
      </c>
      <c r="H4" s="131"/>
      <c r="I4" s="131"/>
      <c r="J4" s="132" t="s">
        <v>8</v>
      </c>
      <c r="K4" s="132"/>
      <c r="L4" s="132"/>
      <c r="M4" s="132"/>
      <c r="N4" s="133"/>
    </row>
    <row r="5" spans="2:14" s="1" customFormat="1" ht="26" customHeight="1" x14ac:dyDescent="0.2">
      <c r="B5" s="3"/>
      <c r="C5" s="4" t="s">
        <v>9</v>
      </c>
      <c r="D5" s="27">
        <v>44664</v>
      </c>
      <c r="E5" s="33">
        <f>F5+G5</f>
        <v>0</v>
      </c>
      <c r="F5" s="18">
        <f>'2022-1'!F5</f>
        <v>0</v>
      </c>
      <c r="G5" s="145">
        <f>'Tableau de bord'!C5</f>
        <v>0</v>
      </c>
      <c r="H5" s="145"/>
      <c r="I5" s="145"/>
      <c r="J5" s="135">
        <f>$G$5</f>
        <v>0</v>
      </c>
      <c r="K5" s="136"/>
      <c r="L5" s="136"/>
      <c r="M5" s="136"/>
      <c r="N5" s="137"/>
    </row>
    <row r="6" spans="2:14" s="2" customFormat="1" ht="45" customHeight="1" x14ac:dyDescent="0.2">
      <c r="B6" s="118"/>
      <c r="C6" s="119"/>
      <c r="D6" s="119"/>
      <c r="E6" s="119"/>
      <c r="F6" s="119"/>
      <c r="G6" s="120"/>
      <c r="H6" s="23" t="s">
        <v>10</v>
      </c>
      <c r="I6" s="121" t="s">
        <v>20</v>
      </c>
      <c r="J6" s="122"/>
      <c r="K6" s="5" t="s">
        <v>21</v>
      </c>
      <c r="L6" s="4" t="s">
        <v>11</v>
      </c>
      <c r="M6" s="4" t="s">
        <v>12</v>
      </c>
      <c r="N6" s="38" t="s">
        <v>35</v>
      </c>
    </row>
    <row r="7" spans="2:14" x14ac:dyDescent="0.2">
      <c r="B7" s="123" t="s">
        <v>13</v>
      </c>
      <c r="C7" s="124"/>
      <c r="D7" s="124"/>
      <c r="E7" s="124"/>
      <c r="F7" s="124"/>
      <c r="G7" s="125"/>
      <c r="H7" s="60"/>
      <c r="I7" s="126"/>
      <c r="J7" s="126"/>
      <c r="K7" s="6"/>
      <c r="L7" s="6"/>
      <c r="M7" s="6"/>
      <c r="N7" s="7"/>
    </row>
    <row r="8" spans="2:14" x14ac:dyDescent="0.2">
      <c r="B8" s="108" t="s">
        <v>14</v>
      </c>
      <c r="C8" s="94"/>
      <c r="D8" s="94"/>
      <c r="E8" s="94"/>
      <c r="F8" s="94"/>
      <c r="G8" s="95"/>
      <c r="H8" s="61"/>
      <c r="I8" s="104"/>
      <c r="J8" s="104"/>
      <c r="K8" s="8">
        <f>1501.39/65*NbUH</f>
        <v>0</v>
      </c>
      <c r="L8" s="9"/>
      <c r="M8" s="10">
        <v>5.5E-2</v>
      </c>
      <c r="N8" s="39">
        <f>(K8+L8)*(1+M8)</f>
        <v>0</v>
      </c>
    </row>
    <row r="9" spans="2:14" x14ac:dyDescent="0.2">
      <c r="B9" s="108" t="s">
        <v>15</v>
      </c>
      <c r="C9" s="94"/>
      <c r="D9" s="94"/>
      <c r="E9" s="94"/>
      <c r="F9" s="94"/>
      <c r="G9" s="95"/>
      <c r="H9" s="61"/>
      <c r="I9" s="104"/>
      <c r="J9" s="104"/>
      <c r="K9" s="8">
        <f>'Tableau de bord'!C7</f>
        <v>0</v>
      </c>
      <c r="L9" s="9"/>
      <c r="M9" s="10">
        <v>5.5E-2</v>
      </c>
      <c r="N9" s="39">
        <f t="shared" ref="N9:N16" si="0">(K9+L9)*(1+M9)</f>
        <v>0</v>
      </c>
    </row>
    <row r="10" spans="2:14" x14ac:dyDescent="0.2">
      <c r="B10" s="115" t="s">
        <v>55</v>
      </c>
      <c r="C10" s="114"/>
      <c r="D10" s="114"/>
      <c r="E10" s="114"/>
      <c r="F10" s="114"/>
      <c r="G10" s="114"/>
      <c r="H10" s="61"/>
      <c r="I10" s="116"/>
      <c r="J10" s="117"/>
      <c r="K10" s="50">
        <f>'Tableau de bord'!C9</f>
        <v>0</v>
      </c>
      <c r="L10" s="9"/>
      <c r="M10" s="10">
        <v>5.5E-2</v>
      </c>
      <c r="N10" s="39">
        <f t="shared" si="0"/>
        <v>0</v>
      </c>
    </row>
    <row r="11" spans="2:14" ht="16" customHeight="1" x14ac:dyDescent="0.2">
      <c r="B11" s="108" t="s">
        <v>16</v>
      </c>
      <c r="C11" s="94"/>
      <c r="D11" s="94"/>
      <c r="E11" s="94"/>
      <c r="F11" s="94"/>
      <c r="G11" s="95"/>
      <c r="H11" s="61"/>
      <c r="I11" s="104"/>
      <c r="J11" s="104"/>
      <c r="K11" s="9"/>
      <c r="L11" s="8">
        <f>337.03/65*NbUH</f>
        <v>0</v>
      </c>
      <c r="M11" s="10">
        <v>5.5E-2</v>
      </c>
      <c r="N11" s="39">
        <f t="shared" si="0"/>
        <v>0</v>
      </c>
    </row>
    <row r="12" spans="2:14" ht="16" customHeight="1" x14ac:dyDescent="0.2">
      <c r="B12" s="113" t="s">
        <v>22</v>
      </c>
      <c r="C12" s="114"/>
      <c r="D12" s="114"/>
      <c r="E12" s="114"/>
      <c r="F12" s="114"/>
      <c r="G12" s="114"/>
      <c r="H12" s="62">
        <f>$G$5</f>
        <v>0</v>
      </c>
      <c r="I12" s="100">
        <v>0.61770000000000003</v>
      </c>
      <c r="J12" s="100"/>
      <c r="K12" s="8">
        <f>H12*I12</f>
        <v>0</v>
      </c>
      <c r="L12" s="9"/>
      <c r="M12" s="10">
        <v>5.5E-2</v>
      </c>
      <c r="N12" s="39">
        <f t="shared" si="0"/>
        <v>0</v>
      </c>
    </row>
    <row r="13" spans="2:14" ht="16" customHeight="1" x14ac:dyDescent="0.2">
      <c r="B13" s="141" t="s">
        <v>64</v>
      </c>
      <c r="C13" s="142"/>
      <c r="D13" s="142"/>
      <c r="E13" s="142"/>
      <c r="F13" s="142"/>
      <c r="G13" s="143"/>
      <c r="H13" s="86">
        <f>IF($G$5&lt;=80,$G$5,80)</f>
        <v>0</v>
      </c>
      <c r="I13" s="144">
        <v>0.74639999999999995</v>
      </c>
      <c r="J13" s="144"/>
      <c r="K13" s="85"/>
      <c r="L13" s="81">
        <f>H13*I13</f>
        <v>0</v>
      </c>
      <c r="M13" s="82">
        <v>5.5E-2</v>
      </c>
      <c r="N13" s="83">
        <f t="shared" si="0"/>
        <v>0</v>
      </c>
    </row>
    <row r="14" spans="2:14" ht="16" customHeight="1" x14ac:dyDescent="0.2">
      <c r="B14" s="141" t="s">
        <v>65</v>
      </c>
      <c r="C14" s="142"/>
      <c r="D14" s="142"/>
      <c r="E14" s="142"/>
      <c r="F14" s="142"/>
      <c r="G14" s="143"/>
      <c r="H14" s="86">
        <f>IF($G$5&gt;80,IF($G$5&lt;=800,$G$5-80,720),0)</f>
        <v>0</v>
      </c>
      <c r="I14" s="144">
        <v>0.82930000000000004</v>
      </c>
      <c r="J14" s="144"/>
      <c r="K14" s="85"/>
      <c r="L14" s="81">
        <f>H14*I14</f>
        <v>0</v>
      </c>
      <c r="M14" s="82">
        <v>5.5E-2</v>
      </c>
      <c r="N14" s="83">
        <f t="shared" ref="N14:N15" si="1">(K14+L14)*(1+M14)</f>
        <v>0</v>
      </c>
    </row>
    <row r="15" spans="2:14" ht="16" customHeight="1" x14ac:dyDescent="0.2">
      <c r="B15" s="141" t="s">
        <v>68</v>
      </c>
      <c r="C15" s="142"/>
      <c r="D15" s="142"/>
      <c r="E15" s="142"/>
      <c r="F15" s="142"/>
      <c r="G15" s="143"/>
      <c r="H15" s="86">
        <f>IF($G$5&gt;800,$G$5-800,0)</f>
        <v>0</v>
      </c>
      <c r="I15" s="144">
        <f>IF(C5=1,0.7464,IF(C5=2,0.8293,1.1827))</f>
        <v>1.1827000000000001</v>
      </c>
      <c r="J15" s="144"/>
      <c r="K15" s="85"/>
      <c r="L15" s="81">
        <f>H15*I15</f>
        <v>0</v>
      </c>
      <c r="M15" s="82">
        <v>5.5E-2</v>
      </c>
      <c r="N15" s="83">
        <f t="shared" si="1"/>
        <v>0</v>
      </c>
    </row>
    <row r="16" spans="2:14" s="40" customFormat="1" ht="16" customHeight="1" x14ac:dyDescent="0.2">
      <c r="B16" s="93" t="s">
        <v>24</v>
      </c>
      <c r="C16" s="94"/>
      <c r="D16" s="94"/>
      <c r="E16" s="94"/>
      <c r="F16" s="94"/>
      <c r="G16" s="95"/>
      <c r="H16" s="62">
        <f t="shared" ref="H16" si="2">$G$5</f>
        <v>0</v>
      </c>
      <c r="I16" s="100">
        <v>8.6199999999999999E-2</v>
      </c>
      <c r="J16" s="100"/>
      <c r="K16" s="9"/>
      <c r="L16" s="8">
        <f>H16*I16</f>
        <v>0</v>
      </c>
      <c r="M16" s="10">
        <v>5.5E-2</v>
      </c>
      <c r="N16" s="39">
        <f t="shared" si="0"/>
        <v>0</v>
      </c>
    </row>
    <row r="17" spans="2:14" x14ac:dyDescent="0.2">
      <c r="B17" s="110" t="s">
        <v>36</v>
      </c>
      <c r="C17" s="111"/>
      <c r="D17" s="111"/>
      <c r="E17" s="111"/>
      <c r="F17" s="111"/>
      <c r="G17" s="111"/>
      <c r="H17" s="63"/>
      <c r="I17" s="112"/>
      <c r="J17" s="112"/>
      <c r="K17" s="53">
        <f>SUM(K8:K16)</f>
        <v>0</v>
      </c>
      <c r="L17" s="53">
        <f>SUM(L8:L16)</f>
        <v>0</v>
      </c>
      <c r="M17" s="54"/>
      <c r="N17" s="55">
        <f>SUM(N8:N16)</f>
        <v>0</v>
      </c>
    </row>
    <row r="18" spans="2:14" x14ac:dyDescent="0.2">
      <c r="B18" s="108" t="s">
        <v>17</v>
      </c>
      <c r="C18" s="94"/>
      <c r="D18" s="94"/>
      <c r="E18" s="94"/>
      <c r="F18" s="94"/>
      <c r="G18" s="95"/>
      <c r="H18" s="61"/>
      <c r="I18" s="109"/>
      <c r="J18" s="109"/>
      <c r="K18" s="9"/>
      <c r="L18" s="9"/>
      <c r="M18" s="9"/>
      <c r="N18" s="11"/>
    </row>
    <row r="19" spans="2:14" x14ac:dyDescent="0.2">
      <c r="B19" s="108" t="s">
        <v>14</v>
      </c>
      <c r="C19" s="94"/>
      <c r="D19" s="94"/>
      <c r="E19" s="94"/>
      <c r="F19" s="94"/>
      <c r="G19" s="95"/>
      <c r="H19" s="61"/>
      <c r="I19" s="109"/>
      <c r="J19" s="109"/>
      <c r="K19" s="8">
        <f>976.93/65*NbUH</f>
        <v>0</v>
      </c>
      <c r="L19" s="9"/>
      <c r="M19" s="10">
        <v>0.1</v>
      </c>
      <c r="N19" s="39">
        <f t="shared" ref="N19:N26" si="3">(K19+L19)*(1+M19)</f>
        <v>0</v>
      </c>
    </row>
    <row r="20" spans="2:14" x14ac:dyDescent="0.2">
      <c r="B20" s="108" t="s">
        <v>16</v>
      </c>
      <c r="C20" s="94"/>
      <c r="D20" s="94"/>
      <c r="E20" s="94"/>
      <c r="F20" s="94"/>
      <c r="G20" s="95"/>
      <c r="H20" s="61"/>
      <c r="I20" s="109"/>
      <c r="J20" s="109"/>
      <c r="K20" s="9"/>
      <c r="L20" s="8">
        <f>267.8/65*NbUH</f>
        <v>0</v>
      </c>
      <c r="M20" s="10">
        <v>0.1</v>
      </c>
      <c r="N20" s="39">
        <f t="shared" si="3"/>
        <v>0</v>
      </c>
    </row>
    <row r="21" spans="2:14" ht="16" customHeight="1" x14ac:dyDescent="0.2">
      <c r="B21" s="108" t="s">
        <v>18</v>
      </c>
      <c r="C21" s="94"/>
      <c r="D21" s="94"/>
      <c r="E21" s="94"/>
      <c r="F21" s="94"/>
      <c r="G21" s="95"/>
      <c r="H21" s="61"/>
      <c r="I21" s="109"/>
      <c r="J21" s="109"/>
      <c r="K21" s="8">
        <f>1458.8/65*NbUH</f>
        <v>0</v>
      </c>
      <c r="L21" s="9"/>
      <c r="M21" s="10">
        <v>0.1</v>
      </c>
      <c r="N21" s="39">
        <f t="shared" si="3"/>
        <v>0</v>
      </c>
    </row>
    <row r="22" spans="2:14" ht="16" customHeight="1" x14ac:dyDescent="0.2">
      <c r="B22" s="93" t="s">
        <v>22</v>
      </c>
      <c r="C22" s="94"/>
      <c r="D22" s="94"/>
      <c r="E22" s="94"/>
      <c r="F22" s="94"/>
      <c r="G22" s="95"/>
      <c r="H22" s="62">
        <f t="shared" ref="H22:H26" si="4">$G$5</f>
        <v>0</v>
      </c>
      <c r="I22" s="100">
        <v>0.3548</v>
      </c>
      <c r="J22" s="100"/>
      <c r="K22" s="8">
        <f>H22*I22</f>
        <v>0</v>
      </c>
      <c r="L22" s="9"/>
      <c r="M22" s="10">
        <v>0.1</v>
      </c>
      <c r="N22" s="39">
        <f t="shared" si="3"/>
        <v>0</v>
      </c>
    </row>
    <row r="23" spans="2:14" ht="17" customHeight="1" x14ac:dyDescent="0.2">
      <c r="B23" s="141" t="s">
        <v>23</v>
      </c>
      <c r="C23" s="142"/>
      <c r="D23" s="142"/>
      <c r="E23" s="142"/>
      <c r="F23" s="142"/>
      <c r="G23" s="143"/>
      <c r="H23" s="86">
        <f>IF($G$5&lt;=80,$G$5,80)</f>
        <v>0</v>
      </c>
      <c r="I23" s="144">
        <v>0.629</v>
      </c>
      <c r="J23" s="144"/>
      <c r="K23" s="84"/>
      <c r="L23" s="81">
        <f>H23*I23</f>
        <v>0</v>
      </c>
      <c r="M23" s="82">
        <v>0.1</v>
      </c>
      <c r="N23" s="83">
        <f t="shared" ref="N23" si="5">(K23+L23)*(1+M23)</f>
        <v>0</v>
      </c>
    </row>
    <row r="24" spans="2:14" ht="16" customHeight="1" x14ac:dyDescent="0.2">
      <c r="B24" s="141" t="s">
        <v>23</v>
      </c>
      <c r="C24" s="142"/>
      <c r="D24" s="142"/>
      <c r="E24" s="142"/>
      <c r="F24" s="142"/>
      <c r="G24" s="143"/>
      <c r="H24" s="86">
        <f>IF($G$5&gt;80,IF($G$5&lt;=800,$G$5-80,720),0)</f>
        <v>0</v>
      </c>
      <c r="I24" s="144">
        <v>0.69889999999999997</v>
      </c>
      <c r="J24" s="144"/>
      <c r="K24" s="84"/>
      <c r="L24" s="81">
        <f>H24*I24</f>
        <v>0</v>
      </c>
      <c r="M24" s="82">
        <v>0.1</v>
      </c>
      <c r="N24" s="83">
        <f t="shared" si="3"/>
        <v>0</v>
      </c>
    </row>
    <row r="25" spans="2:14" x14ac:dyDescent="0.2">
      <c r="B25" s="141" t="s">
        <v>23</v>
      </c>
      <c r="C25" s="142"/>
      <c r="D25" s="142"/>
      <c r="E25" s="142"/>
      <c r="F25" s="142"/>
      <c r="G25" s="143"/>
      <c r="H25" s="86">
        <f>IF($G$5&gt;800,$G$5-800,0)</f>
        <v>0</v>
      </c>
      <c r="I25" s="144">
        <v>2.0548000000000002</v>
      </c>
      <c r="J25" s="144"/>
      <c r="K25" s="84"/>
      <c r="L25" s="81">
        <f>H25*I25</f>
        <v>0</v>
      </c>
      <c r="M25" s="82">
        <v>0.1</v>
      </c>
      <c r="N25" s="83">
        <f t="shared" ref="N25" si="6">(K25+L25)*(1+M25)</f>
        <v>0</v>
      </c>
    </row>
    <row r="26" spans="2:14" x14ac:dyDescent="0.2">
      <c r="B26" s="93" t="s">
        <v>25</v>
      </c>
      <c r="C26" s="94"/>
      <c r="D26" s="94"/>
      <c r="E26" s="94"/>
      <c r="F26" s="94"/>
      <c r="G26" s="95"/>
      <c r="H26" s="62">
        <f t="shared" si="4"/>
        <v>0</v>
      </c>
      <c r="I26" s="100">
        <v>0.78669999999999995</v>
      </c>
      <c r="J26" s="100"/>
      <c r="K26" s="8">
        <f>H26*I26</f>
        <v>0</v>
      </c>
      <c r="L26" s="9"/>
      <c r="M26" s="10">
        <v>0.1</v>
      </c>
      <c r="N26" s="39">
        <f t="shared" si="3"/>
        <v>0</v>
      </c>
    </row>
    <row r="27" spans="2:14" x14ac:dyDescent="0.2">
      <c r="B27" s="105" t="s">
        <v>49</v>
      </c>
      <c r="C27" s="106"/>
      <c r="D27" s="106"/>
      <c r="E27" s="106"/>
      <c r="F27" s="106"/>
      <c r="G27" s="106"/>
      <c r="H27" s="107"/>
      <c r="I27" s="126"/>
      <c r="J27" s="126"/>
      <c r="K27" s="53">
        <f>SUM(K19:K26)</f>
        <v>0</v>
      </c>
      <c r="L27" s="53">
        <f>SUM(L19:L26)</f>
        <v>0</v>
      </c>
      <c r="M27" s="56"/>
      <c r="N27" s="55">
        <f>SUM(N19:N26)</f>
        <v>0</v>
      </c>
    </row>
    <row r="28" spans="2:14" ht="16" customHeight="1" x14ac:dyDescent="0.2">
      <c r="B28" s="138" t="s">
        <v>53</v>
      </c>
      <c r="C28" s="139"/>
      <c r="D28" s="139"/>
      <c r="E28" s="139"/>
      <c r="F28" s="139"/>
      <c r="G28" s="140"/>
      <c r="H28" s="64"/>
      <c r="I28" s="104"/>
      <c r="J28" s="104"/>
      <c r="K28" s="9"/>
      <c r="L28" s="9"/>
      <c r="M28" s="9"/>
      <c r="N28" s="11"/>
    </row>
    <row r="29" spans="2:14" ht="17" customHeight="1" x14ac:dyDescent="0.2">
      <c r="B29" s="93" t="s">
        <v>26</v>
      </c>
      <c r="C29" s="94"/>
      <c r="D29" s="94"/>
      <c r="E29" s="94"/>
      <c r="F29" s="94"/>
      <c r="G29" s="95"/>
      <c r="H29" s="62">
        <f t="shared" ref="H29:H30" si="7">$G$5</f>
        <v>0</v>
      </c>
      <c r="I29" s="96">
        <v>0.28000000000000003</v>
      </c>
      <c r="J29" s="96"/>
      <c r="K29" s="9"/>
      <c r="L29" s="8">
        <f>H29*I29</f>
        <v>0</v>
      </c>
      <c r="M29" s="10">
        <v>5.5E-2</v>
      </c>
      <c r="N29" s="39">
        <f t="shared" ref="N29:N30" si="8">(K29+L29)*(1+M29)</f>
        <v>0</v>
      </c>
    </row>
    <row r="30" spans="2:14" x14ac:dyDescent="0.2">
      <c r="B30" s="93" t="s">
        <v>27</v>
      </c>
      <c r="C30" s="94"/>
      <c r="D30" s="94"/>
      <c r="E30" s="94"/>
      <c r="F30" s="94"/>
      <c r="G30" s="95"/>
      <c r="H30" s="62">
        <f t="shared" si="7"/>
        <v>0</v>
      </c>
      <c r="I30" s="96">
        <v>0.16</v>
      </c>
      <c r="J30" s="96"/>
      <c r="K30" s="9"/>
      <c r="L30" s="8">
        <f>H30*I30</f>
        <v>0</v>
      </c>
      <c r="M30" s="10">
        <v>0.1</v>
      </c>
      <c r="N30" s="39">
        <f t="shared" si="8"/>
        <v>0</v>
      </c>
    </row>
    <row r="31" spans="2:14" ht="17" thickBot="1" x14ac:dyDescent="0.25">
      <c r="B31" s="97" t="s">
        <v>51</v>
      </c>
      <c r="C31" s="98"/>
      <c r="D31" s="98"/>
      <c r="E31" s="98"/>
      <c r="F31" s="98"/>
      <c r="G31" s="98"/>
      <c r="H31" s="60"/>
      <c r="I31" s="126"/>
      <c r="J31" s="126"/>
      <c r="K31" s="6"/>
      <c r="L31" s="53">
        <f>SUM(L29:L30)</f>
        <v>0</v>
      </c>
      <c r="M31" s="56"/>
      <c r="N31" s="69">
        <f>SUM(N29:N30)</f>
        <v>0</v>
      </c>
    </row>
    <row r="32" spans="2:14" ht="17" thickBot="1" x14ac:dyDescent="0.25">
      <c r="B32" s="90" t="s">
        <v>52</v>
      </c>
      <c r="C32" s="91"/>
      <c r="D32" s="91"/>
      <c r="E32" s="91"/>
      <c r="F32" s="91"/>
      <c r="G32" s="91"/>
      <c r="H32" s="65"/>
      <c r="I32" s="92"/>
      <c r="J32" s="92"/>
      <c r="K32" s="57">
        <f>K17+K27+K31</f>
        <v>0</v>
      </c>
      <c r="L32" s="57">
        <f>L17+L27+L31</f>
        <v>0</v>
      </c>
      <c r="M32" s="58"/>
      <c r="N32" s="59">
        <f>N17+N27+N31</f>
        <v>0</v>
      </c>
    </row>
    <row r="33" spans="2:7" ht="17" thickBot="1" x14ac:dyDescent="0.25"/>
    <row r="34" spans="2:7" x14ac:dyDescent="0.2">
      <c r="B34" s="12"/>
      <c r="C34" s="20" t="s">
        <v>28</v>
      </c>
      <c r="D34" s="21" t="s">
        <v>29</v>
      </c>
      <c r="E34" s="2" t="s">
        <v>60</v>
      </c>
      <c r="F34" t="s">
        <v>39</v>
      </c>
      <c r="G34" t="s">
        <v>40</v>
      </c>
    </row>
    <row r="35" spans="2:7" x14ac:dyDescent="0.2">
      <c r="B35" s="13" t="s">
        <v>1</v>
      </c>
      <c r="C35" s="14">
        <f>K12+SUM(L13:L15)+L16+K22+SUM(L23:L25)+K26+L29+L30</f>
        <v>0</v>
      </c>
      <c r="D35" s="19">
        <f>(K12+SUM(L13:L15)+L16+L29)*1.055+(K22+SUM(L23:L25)+K26+L30)*1.1</f>
        <v>0</v>
      </c>
      <c r="E35" s="41" t="str">
        <f>IF(D37&lt;&gt;0,D35/D37,"")</f>
        <v/>
      </c>
      <c r="F35" s="42">
        <f>IF(NbUH&lt;&gt;0,D35/NbUH,0)</f>
        <v>0</v>
      </c>
    </row>
    <row r="36" spans="2:7" x14ac:dyDescent="0.2">
      <c r="B36" s="13" t="s">
        <v>0</v>
      </c>
      <c r="C36" s="14">
        <f>K8+K9+K10+L11+K19+L20+K21</f>
        <v>0</v>
      </c>
      <c r="D36" s="19">
        <f>(K8+K9+K10+L11)*1.055+(K19+L20+K21)*1.1</f>
        <v>0</v>
      </c>
      <c r="E36" s="41" t="str">
        <f>IF(D37&lt;&gt;0,D36/D37,"")</f>
        <v/>
      </c>
      <c r="F36" s="42">
        <f>IF(NbUH&lt;&gt;0,D36/NbUH,0)</f>
        <v>0</v>
      </c>
    </row>
    <row r="37" spans="2:7" ht="17" thickBot="1" x14ac:dyDescent="0.25">
      <c r="B37" s="15" t="s">
        <v>59</v>
      </c>
      <c r="C37" s="16">
        <f>C35+C36</f>
        <v>0</v>
      </c>
      <c r="D37" s="17">
        <f>D35+D36</f>
        <v>0</v>
      </c>
      <c r="F37" s="42">
        <f>IF(NbUH&lt;&gt;0,D37/NbUH,0)</f>
        <v>0</v>
      </c>
      <c r="G37" s="42">
        <f>F37-'2022-1'!F33</f>
        <v>0</v>
      </c>
    </row>
  </sheetData>
  <mergeCells count="60">
    <mergeCell ref="D3:E3"/>
    <mergeCell ref="G4:I4"/>
    <mergeCell ref="J4:N4"/>
    <mergeCell ref="G5:I5"/>
    <mergeCell ref="J5:N5"/>
    <mergeCell ref="B6:G6"/>
    <mergeCell ref="I6:J6"/>
    <mergeCell ref="B7:G7"/>
    <mergeCell ref="I7:J7"/>
    <mergeCell ref="B8:G8"/>
    <mergeCell ref="I8:J8"/>
    <mergeCell ref="B9:G9"/>
    <mergeCell ref="I9:J9"/>
    <mergeCell ref="B11:G11"/>
    <mergeCell ref="I11:J11"/>
    <mergeCell ref="B12:G12"/>
    <mergeCell ref="I12:J12"/>
    <mergeCell ref="B13:G13"/>
    <mergeCell ref="I13:J13"/>
    <mergeCell ref="B16:G16"/>
    <mergeCell ref="I16:J16"/>
    <mergeCell ref="B17:G17"/>
    <mergeCell ref="I17:J17"/>
    <mergeCell ref="B14:G14"/>
    <mergeCell ref="I14:J14"/>
    <mergeCell ref="B15:G15"/>
    <mergeCell ref="I15:J15"/>
    <mergeCell ref="B18:G18"/>
    <mergeCell ref="I18:J18"/>
    <mergeCell ref="B19:G19"/>
    <mergeCell ref="I19:J19"/>
    <mergeCell ref="B20:G20"/>
    <mergeCell ref="I20:J20"/>
    <mergeCell ref="I28:J28"/>
    <mergeCell ref="B21:G21"/>
    <mergeCell ref="I21:J21"/>
    <mergeCell ref="B22:G22"/>
    <mergeCell ref="I22:J22"/>
    <mergeCell ref="B24:G24"/>
    <mergeCell ref="I24:J24"/>
    <mergeCell ref="B23:G23"/>
    <mergeCell ref="I23:J23"/>
    <mergeCell ref="B25:G25"/>
    <mergeCell ref="I25:J25"/>
    <mergeCell ref="B32:G32"/>
    <mergeCell ref="I32:J32"/>
    <mergeCell ref="C2:I2"/>
    <mergeCell ref="B10:G10"/>
    <mergeCell ref="I10:J10"/>
    <mergeCell ref="B29:G29"/>
    <mergeCell ref="I29:J29"/>
    <mergeCell ref="B30:G30"/>
    <mergeCell ref="I30:J30"/>
    <mergeCell ref="B31:G31"/>
    <mergeCell ref="I31:J31"/>
    <mergeCell ref="B26:G26"/>
    <mergeCell ref="I26:J26"/>
    <mergeCell ref="B27:H27"/>
    <mergeCell ref="I27:J27"/>
    <mergeCell ref="B28:G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57425-BC38-6442-AEC2-7D59D0AEE1B2}">
  <dimension ref="B1:N37"/>
  <sheetViews>
    <sheetView zoomScaleNormal="100" workbookViewId="0">
      <selection activeCell="H37" sqref="H37"/>
    </sheetView>
    <sheetView workbookViewId="1">
      <selection activeCell="I26" sqref="I26:J26"/>
    </sheetView>
  </sheetViews>
  <sheetFormatPr baseColWidth="10" defaultRowHeight="16" x14ac:dyDescent="0.2"/>
  <cols>
    <col min="1" max="1" width="3.33203125" customWidth="1"/>
    <col min="2" max="2" width="15.83203125" customWidth="1"/>
    <col min="3" max="4" width="13.33203125" customWidth="1"/>
    <col min="8" max="8" width="10.83203125" style="25"/>
    <col min="9" max="9" width="5.83203125" customWidth="1"/>
    <col min="10" max="10" width="9.1640625" customWidth="1"/>
    <col min="11" max="11" width="14.5" customWidth="1"/>
  </cols>
  <sheetData>
    <row r="1" spans="2:14" ht="20" customHeight="1" thickBot="1" x14ac:dyDescent="0.25"/>
    <row r="2" spans="2:14" s="1" customFormat="1" ht="25" customHeight="1" x14ac:dyDescent="0.2">
      <c r="B2" s="28" t="s">
        <v>31</v>
      </c>
      <c r="C2" s="127">
        <f>Copropriété</f>
        <v>0</v>
      </c>
      <c r="D2" s="128"/>
      <c r="E2" s="128"/>
      <c r="F2" s="128"/>
      <c r="G2" s="128"/>
      <c r="H2" s="128"/>
      <c r="I2" s="128"/>
      <c r="J2" s="45"/>
      <c r="K2" s="45"/>
      <c r="L2" s="45"/>
      <c r="M2" s="30" t="s">
        <v>67</v>
      </c>
      <c r="N2" s="31" t="s">
        <v>37</v>
      </c>
    </row>
    <row r="3" spans="2:14" ht="20" customHeight="1" thickBot="1" x14ac:dyDescent="0.25">
      <c r="B3" s="29"/>
      <c r="C3" s="52"/>
      <c r="D3" s="129" t="s">
        <v>30</v>
      </c>
      <c r="E3" s="130"/>
      <c r="F3" s="26">
        <f>NbUH</f>
        <v>0</v>
      </c>
      <c r="G3" s="67"/>
      <c r="H3" s="68"/>
      <c r="I3" s="67"/>
      <c r="J3" s="24"/>
      <c r="K3" s="24"/>
      <c r="L3" s="24"/>
      <c r="M3" s="24"/>
      <c r="N3" s="32">
        <v>45288</v>
      </c>
    </row>
    <row r="4" spans="2:14" ht="30" customHeight="1" x14ac:dyDescent="0.2">
      <c r="B4" s="22" t="s">
        <v>19</v>
      </c>
      <c r="C4" s="23" t="s">
        <v>3</v>
      </c>
      <c r="D4" s="23" t="s">
        <v>4</v>
      </c>
      <c r="E4" s="23" t="s">
        <v>5</v>
      </c>
      <c r="F4" s="23" t="s">
        <v>6</v>
      </c>
      <c r="G4" s="131" t="s">
        <v>7</v>
      </c>
      <c r="H4" s="131"/>
      <c r="I4" s="131"/>
      <c r="J4" s="132" t="s">
        <v>8</v>
      </c>
      <c r="K4" s="132"/>
      <c r="L4" s="132"/>
      <c r="M4" s="132"/>
      <c r="N4" s="133"/>
    </row>
    <row r="5" spans="2:14" s="1" customFormat="1" ht="26" customHeight="1" x14ac:dyDescent="0.2">
      <c r="B5" s="3"/>
      <c r="C5" s="4" t="s">
        <v>9</v>
      </c>
      <c r="D5" s="27">
        <v>44884</v>
      </c>
      <c r="E5" s="33">
        <f>'2022-2'!E5</f>
        <v>0</v>
      </c>
      <c r="F5" s="43">
        <f>'2022-2'!F5</f>
        <v>0</v>
      </c>
      <c r="G5" s="157">
        <f>'Tableau de bord'!C6</f>
        <v>0</v>
      </c>
      <c r="H5" s="158"/>
      <c r="I5" s="159"/>
      <c r="J5" s="135">
        <f>$G$5</f>
        <v>0</v>
      </c>
      <c r="K5" s="136"/>
      <c r="L5" s="136"/>
      <c r="M5" s="136"/>
      <c r="N5" s="137"/>
    </row>
    <row r="6" spans="2:14" s="2" customFormat="1" ht="45" customHeight="1" x14ac:dyDescent="0.2">
      <c r="B6" s="118"/>
      <c r="C6" s="119"/>
      <c r="D6" s="119"/>
      <c r="E6" s="119"/>
      <c r="F6" s="119"/>
      <c r="G6" s="120"/>
      <c r="H6" s="23" t="s">
        <v>10</v>
      </c>
      <c r="I6" s="121" t="s">
        <v>20</v>
      </c>
      <c r="J6" s="122"/>
      <c r="K6" s="5" t="s">
        <v>21</v>
      </c>
      <c r="L6" s="4" t="s">
        <v>11</v>
      </c>
      <c r="M6" s="4" t="s">
        <v>12</v>
      </c>
      <c r="N6" s="38" t="s">
        <v>35</v>
      </c>
    </row>
    <row r="7" spans="2:14" x14ac:dyDescent="0.2">
      <c r="B7" s="123" t="s">
        <v>13</v>
      </c>
      <c r="C7" s="124"/>
      <c r="D7" s="124"/>
      <c r="E7" s="124"/>
      <c r="F7" s="124"/>
      <c r="G7" s="125"/>
      <c r="H7" s="60"/>
      <c r="I7" s="126"/>
      <c r="J7" s="126"/>
      <c r="K7" s="6"/>
      <c r="L7" s="6"/>
      <c r="M7" s="6"/>
      <c r="N7" s="7"/>
    </row>
    <row r="8" spans="2:14" x14ac:dyDescent="0.2">
      <c r="B8" s="108" t="s">
        <v>14</v>
      </c>
      <c r="C8" s="94"/>
      <c r="D8" s="94"/>
      <c r="E8" s="94"/>
      <c r="F8" s="94"/>
      <c r="G8" s="95"/>
      <c r="H8" s="61"/>
      <c r="I8" s="104"/>
      <c r="J8" s="104"/>
      <c r="K8" s="50">
        <f>1575.4/65*NbUH</f>
        <v>0</v>
      </c>
      <c r="L8" s="9"/>
      <c r="M8" s="10">
        <v>5.5E-2</v>
      </c>
      <c r="N8" s="39">
        <f>(K8+L8)*(1+M8)</f>
        <v>0</v>
      </c>
    </row>
    <row r="9" spans="2:14" x14ac:dyDescent="0.2">
      <c r="B9" s="108" t="s">
        <v>15</v>
      </c>
      <c r="C9" s="94"/>
      <c r="D9" s="94"/>
      <c r="E9" s="94"/>
      <c r="F9" s="94"/>
      <c r="G9" s="95"/>
      <c r="H9" s="61"/>
      <c r="I9" s="104"/>
      <c r="J9" s="104"/>
      <c r="K9" s="50">
        <f>'Tableau de bord'!C8</f>
        <v>0</v>
      </c>
      <c r="L9" s="9"/>
      <c r="M9" s="10">
        <v>5.5E-2</v>
      </c>
      <c r="N9" s="39">
        <f t="shared" ref="N9:N16" si="0">(K9+L9)*(1+M9)</f>
        <v>0</v>
      </c>
    </row>
    <row r="10" spans="2:14" x14ac:dyDescent="0.2">
      <c r="B10" s="115" t="s">
        <v>55</v>
      </c>
      <c r="C10" s="114"/>
      <c r="D10" s="114"/>
      <c r="E10" s="114"/>
      <c r="F10" s="114"/>
      <c r="G10" s="114"/>
      <c r="H10" s="61"/>
      <c r="I10" s="116"/>
      <c r="J10" s="117"/>
      <c r="K10" s="50">
        <f>'Tableau de bord'!C10</f>
        <v>0</v>
      </c>
      <c r="L10" s="9"/>
      <c r="M10" s="10">
        <v>5.5E-2</v>
      </c>
      <c r="N10" s="39">
        <f t="shared" si="0"/>
        <v>0</v>
      </c>
    </row>
    <row r="11" spans="2:14" ht="16" customHeight="1" x14ac:dyDescent="0.2">
      <c r="B11" s="108" t="s">
        <v>16</v>
      </c>
      <c r="C11" s="94"/>
      <c r="D11" s="94"/>
      <c r="E11" s="94"/>
      <c r="F11" s="94"/>
      <c r="G11" s="95"/>
      <c r="H11" s="61"/>
      <c r="I11" s="104"/>
      <c r="J11" s="104"/>
      <c r="K11" s="49"/>
      <c r="L11" s="8">
        <f>337.03/65*NbUH</f>
        <v>0</v>
      </c>
      <c r="M11" s="10">
        <v>5.5E-2</v>
      </c>
      <c r="N11" s="39">
        <f t="shared" si="0"/>
        <v>0</v>
      </c>
    </row>
    <row r="12" spans="2:14" ht="16" customHeight="1" x14ac:dyDescent="0.2">
      <c r="B12" s="113" t="s">
        <v>22</v>
      </c>
      <c r="C12" s="114"/>
      <c r="D12" s="114"/>
      <c r="E12" s="114"/>
      <c r="F12" s="114"/>
      <c r="G12" s="114"/>
      <c r="H12" s="62">
        <f>$G$5</f>
        <v>0</v>
      </c>
      <c r="I12" s="100">
        <v>0.3347</v>
      </c>
      <c r="J12" s="100"/>
      <c r="K12" s="50">
        <f>H12*I12</f>
        <v>0</v>
      </c>
      <c r="L12" s="9"/>
      <c r="M12" s="10">
        <v>5.5E-2</v>
      </c>
      <c r="N12" s="39">
        <f t="shared" si="0"/>
        <v>0</v>
      </c>
    </row>
    <row r="13" spans="2:14" ht="16" customHeight="1" x14ac:dyDescent="0.2">
      <c r="B13" s="141" t="s">
        <v>64</v>
      </c>
      <c r="C13" s="142"/>
      <c r="D13" s="142"/>
      <c r="E13" s="142"/>
      <c r="F13" s="142"/>
      <c r="G13" s="143"/>
      <c r="H13" s="86">
        <f>IF($G$5&lt;=80,$G$5,80)</f>
        <v>0</v>
      </c>
      <c r="I13" s="155">
        <v>0.37319999999999998</v>
      </c>
      <c r="J13" s="156"/>
      <c r="K13" s="87"/>
      <c r="L13" s="81">
        <f>H13*I13</f>
        <v>0</v>
      </c>
      <c r="M13" s="82">
        <v>5.5E-2</v>
      </c>
      <c r="N13" s="83">
        <f t="shared" si="0"/>
        <v>0</v>
      </c>
    </row>
    <row r="14" spans="2:14" ht="16" customHeight="1" x14ac:dyDescent="0.2">
      <c r="B14" s="141" t="s">
        <v>65</v>
      </c>
      <c r="C14" s="142"/>
      <c r="D14" s="142"/>
      <c r="E14" s="142"/>
      <c r="F14" s="142"/>
      <c r="G14" s="143"/>
      <c r="H14" s="86">
        <f>IF($G$5&gt;80,IF($G$5&lt;=800,$G$5-80,720),0)</f>
        <v>0</v>
      </c>
      <c r="I14" s="155">
        <v>0.41470000000000001</v>
      </c>
      <c r="J14" s="156"/>
      <c r="K14" s="87"/>
      <c r="L14" s="81">
        <f>H14*I14</f>
        <v>0</v>
      </c>
      <c r="M14" s="82">
        <v>5.5E-2</v>
      </c>
      <c r="N14" s="83">
        <f t="shared" ref="N14:N15" si="1">(K14+L14)*(1+M14)</f>
        <v>0</v>
      </c>
    </row>
    <row r="15" spans="2:14" ht="16" customHeight="1" x14ac:dyDescent="0.2">
      <c r="B15" s="141" t="s">
        <v>66</v>
      </c>
      <c r="C15" s="142"/>
      <c r="D15" s="142"/>
      <c r="E15" s="142"/>
      <c r="F15" s="142"/>
      <c r="G15" s="143"/>
      <c r="H15" s="86">
        <f>IF($G$5&gt;800,$G$5-800,0)</f>
        <v>0</v>
      </c>
      <c r="I15" s="155">
        <v>0.71220000000000006</v>
      </c>
      <c r="J15" s="156"/>
      <c r="K15" s="87"/>
      <c r="L15" s="81">
        <f>H15*I15</f>
        <v>0</v>
      </c>
      <c r="M15" s="82">
        <v>5.5E-2</v>
      </c>
      <c r="N15" s="83">
        <f t="shared" si="1"/>
        <v>0</v>
      </c>
    </row>
    <row r="16" spans="2:14" s="40" customFormat="1" ht="16" customHeight="1" x14ac:dyDescent="0.2">
      <c r="B16" s="93" t="s">
        <v>24</v>
      </c>
      <c r="C16" s="94"/>
      <c r="D16" s="94"/>
      <c r="E16" s="94"/>
      <c r="F16" s="94"/>
      <c r="G16" s="95"/>
      <c r="H16" s="62">
        <f t="shared" ref="H16" si="2">$G$5</f>
        <v>0</v>
      </c>
      <c r="I16" s="100">
        <v>8.6199999999999999E-2</v>
      </c>
      <c r="J16" s="100"/>
      <c r="K16" s="49"/>
      <c r="L16" s="8">
        <f>H16*I16</f>
        <v>0</v>
      </c>
      <c r="M16" s="10">
        <v>5.5E-2</v>
      </c>
      <c r="N16" s="39">
        <f t="shared" si="0"/>
        <v>0</v>
      </c>
    </row>
    <row r="17" spans="2:14" x14ac:dyDescent="0.2">
      <c r="B17" s="110" t="s">
        <v>36</v>
      </c>
      <c r="C17" s="111"/>
      <c r="D17" s="111"/>
      <c r="E17" s="111"/>
      <c r="F17" s="111"/>
      <c r="G17" s="111"/>
      <c r="H17" s="63"/>
      <c r="I17" s="112"/>
      <c r="J17" s="112"/>
      <c r="K17" s="66">
        <f>SUM(K8:K16)</f>
        <v>0</v>
      </c>
      <c r="L17" s="53">
        <f>SUM(L8:L16)</f>
        <v>0</v>
      </c>
      <c r="M17" s="54"/>
      <c r="N17" s="55">
        <f>SUM(N8:N16)</f>
        <v>0</v>
      </c>
    </row>
    <row r="18" spans="2:14" x14ac:dyDescent="0.2">
      <c r="B18" s="108" t="s">
        <v>17</v>
      </c>
      <c r="C18" s="94"/>
      <c r="D18" s="94"/>
      <c r="E18" s="94"/>
      <c r="F18" s="94"/>
      <c r="G18" s="95"/>
      <c r="H18" s="61"/>
      <c r="I18" s="109"/>
      <c r="J18" s="109"/>
      <c r="K18" s="49"/>
      <c r="L18" s="9"/>
      <c r="M18" s="9"/>
      <c r="N18" s="11"/>
    </row>
    <row r="19" spans="2:14" x14ac:dyDescent="0.2">
      <c r="B19" s="108" t="s">
        <v>14</v>
      </c>
      <c r="C19" s="94"/>
      <c r="D19" s="94"/>
      <c r="E19" s="94"/>
      <c r="F19" s="94"/>
      <c r="G19" s="95"/>
      <c r="H19" s="61"/>
      <c r="I19" s="109"/>
      <c r="J19" s="109"/>
      <c r="K19" s="50">
        <f>993.12/65*NbUH</f>
        <v>0</v>
      </c>
      <c r="L19" s="9"/>
      <c r="M19" s="10">
        <v>0.1</v>
      </c>
      <c r="N19" s="39">
        <f t="shared" ref="N19:N26" si="3">(K19+L19)*(1+M19)</f>
        <v>0</v>
      </c>
    </row>
    <row r="20" spans="2:14" x14ac:dyDescent="0.2">
      <c r="B20" s="108" t="s">
        <v>16</v>
      </c>
      <c r="C20" s="94"/>
      <c r="D20" s="94"/>
      <c r="E20" s="94"/>
      <c r="F20" s="94"/>
      <c r="G20" s="95"/>
      <c r="H20" s="61"/>
      <c r="I20" s="109"/>
      <c r="J20" s="109"/>
      <c r="K20" s="49"/>
      <c r="L20" s="8">
        <f>267.8/65*NbUH</f>
        <v>0</v>
      </c>
      <c r="M20" s="10">
        <v>0.1</v>
      </c>
      <c r="N20" s="39">
        <f t="shared" si="3"/>
        <v>0</v>
      </c>
    </row>
    <row r="21" spans="2:14" ht="16" customHeight="1" x14ac:dyDescent="0.2">
      <c r="B21" s="108" t="s">
        <v>18</v>
      </c>
      <c r="C21" s="94"/>
      <c r="D21" s="94"/>
      <c r="E21" s="94"/>
      <c r="F21" s="94"/>
      <c r="G21" s="95"/>
      <c r="H21" s="61"/>
      <c r="I21" s="109"/>
      <c r="J21" s="109"/>
      <c r="K21" s="50">
        <f>1417.09/65*NbUH</f>
        <v>0</v>
      </c>
      <c r="L21" s="9"/>
      <c r="M21" s="10">
        <v>0.1</v>
      </c>
      <c r="N21" s="39">
        <f t="shared" si="3"/>
        <v>0</v>
      </c>
    </row>
    <row r="22" spans="2:14" ht="16" customHeight="1" x14ac:dyDescent="0.2">
      <c r="B22" s="93" t="s">
        <v>22</v>
      </c>
      <c r="C22" s="94"/>
      <c r="D22" s="94"/>
      <c r="E22" s="94"/>
      <c r="F22" s="94"/>
      <c r="G22" s="95"/>
      <c r="H22" s="62">
        <f t="shared" ref="H22:H26" si="4">$G$5</f>
        <v>0</v>
      </c>
      <c r="I22" s="100">
        <v>0.1855</v>
      </c>
      <c r="J22" s="100"/>
      <c r="K22" s="8">
        <f>H22*I22</f>
        <v>0</v>
      </c>
      <c r="L22" s="9"/>
      <c r="M22" s="10">
        <v>0.1</v>
      </c>
      <c r="N22" s="39">
        <f t="shared" si="3"/>
        <v>0</v>
      </c>
    </row>
    <row r="23" spans="2:14" ht="17" customHeight="1" x14ac:dyDescent="0.2">
      <c r="B23" s="141" t="s">
        <v>23</v>
      </c>
      <c r="C23" s="142"/>
      <c r="D23" s="142"/>
      <c r="E23" s="142"/>
      <c r="F23" s="142"/>
      <c r="G23" s="143"/>
      <c r="H23" s="86">
        <f>IF($G$5&lt;=80,$G$5,80)</f>
        <v>0</v>
      </c>
      <c r="I23" s="144">
        <v>0.3145</v>
      </c>
      <c r="J23" s="144"/>
      <c r="K23" s="84"/>
      <c r="L23" s="81">
        <f>H23*I23</f>
        <v>0</v>
      </c>
      <c r="M23" s="82">
        <v>0.1</v>
      </c>
      <c r="N23" s="83">
        <f t="shared" si="3"/>
        <v>0</v>
      </c>
    </row>
    <row r="24" spans="2:14" ht="16" customHeight="1" x14ac:dyDescent="0.2">
      <c r="B24" s="141" t="s">
        <v>23</v>
      </c>
      <c r="C24" s="142"/>
      <c r="D24" s="142"/>
      <c r="E24" s="142"/>
      <c r="F24" s="142"/>
      <c r="G24" s="143"/>
      <c r="H24" s="86">
        <f>IF($G$5&gt;80,IF($G$5&lt;=800,$G$5-80,720),0)</f>
        <v>0</v>
      </c>
      <c r="I24" s="144">
        <v>0.34939999999999999</v>
      </c>
      <c r="J24" s="144"/>
      <c r="K24" s="84"/>
      <c r="L24" s="81">
        <f>H24*I24</f>
        <v>0</v>
      </c>
      <c r="M24" s="82">
        <v>0.1</v>
      </c>
      <c r="N24" s="83">
        <f t="shared" si="3"/>
        <v>0</v>
      </c>
    </row>
    <row r="25" spans="2:14" ht="16" customHeight="1" thickBot="1" x14ac:dyDescent="0.25">
      <c r="B25" s="141" t="s">
        <v>23</v>
      </c>
      <c r="C25" s="142"/>
      <c r="D25" s="142"/>
      <c r="E25" s="142"/>
      <c r="F25" s="142"/>
      <c r="G25" s="143"/>
      <c r="H25" s="86">
        <f>IF($G$5&gt;800,$G$5-800,0)</f>
        <v>0</v>
      </c>
      <c r="I25" s="144">
        <v>1.5371999999999999</v>
      </c>
      <c r="J25" s="144"/>
      <c r="K25" s="84"/>
      <c r="L25" s="81">
        <f>H25*I25</f>
        <v>0</v>
      </c>
      <c r="M25" s="82">
        <v>0.1</v>
      </c>
      <c r="N25" s="83">
        <f t="shared" si="3"/>
        <v>0</v>
      </c>
    </row>
    <row r="26" spans="2:14" x14ac:dyDescent="0.2">
      <c r="B26" s="149" t="s">
        <v>25</v>
      </c>
      <c r="C26" s="150"/>
      <c r="D26" s="150"/>
      <c r="E26" s="150"/>
      <c r="F26" s="150"/>
      <c r="G26" s="150"/>
      <c r="H26" s="62">
        <f t="shared" si="4"/>
        <v>0</v>
      </c>
      <c r="I26" s="151">
        <v>0.42459999999999998</v>
      </c>
      <c r="J26" s="152"/>
      <c r="K26" s="8">
        <f>H26*I26</f>
        <v>0</v>
      </c>
      <c r="L26" s="9"/>
      <c r="M26" s="10">
        <v>0.1</v>
      </c>
      <c r="N26" s="39">
        <f t="shared" si="3"/>
        <v>0</v>
      </c>
    </row>
    <row r="27" spans="2:14" x14ac:dyDescent="0.2">
      <c r="B27" s="105" t="s">
        <v>49</v>
      </c>
      <c r="C27" s="106"/>
      <c r="D27" s="106"/>
      <c r="E27" s="106"/>
      <c r="F27" s="106"/>
      <c r="G27" s="106"/>
      <c r="H27" s="107"/>
      <c r="I27" s="153"/>
      <c r="J27" s="154"/>
      <c r="K27" s="53">
        <f>SUM(K19:K26)</f>
        <v>0</v>
      </c>
      <c r="L27" s="53">
        <f>SUM(L19:L26)</f>
        <v>0</v>
      </c>
      <c r="M27" s="56"/>
      <c r="N27" s="55">
        <f>SUM(N19:N26)</f>
        <v>0</v>
      </c>
    </row>
    <row r="28" spans="2:14" ht="16" customHeight="1" x14ac:dyDescent="0.2">
      <c r="B28" s="138" t="s">
        <v>53</v>
      </c>
      <c r="C28" s="139"/>
      <c r="D28" s="139"/>
      <c r="E28" s="139"/>
      <c r="F28" s="139"/>
      <c r="G28" s="140"/>
      <c r="H28" s="64"/>
      <c r="I28" s="104"/>
      <c r="J28" s="104"/>
      <c r="K28" s="9"/>
      <c r="L28" s="9"/>
      <c r="M28" s="9"/>
      <c r="N28" s="11"/>
    </row>
    <row r="29" spans="2:14" ht="17" customHeight="1" x14ac:dyDescent="0.2">
      <c r="B29" s="93" t="s">
        <v>26</v>
      </c>
      <c r="C29" s="94"/>
      <c r="D29" s="94"/>
      <c r="E29" s="94"/>
      <c r="F29" s="94"/>
      <c r="G29" s="95"/>
      <c r="H29" s="62">
        <f t="shared" ref="H29:H30" si="5">$G$5</f>
        <v>0</v>
      </c>
      <c r="I29" s="96">
        <v>0.28000000000000003</v>
      </c>
      <c r="J29" s="96"/>
      <c r="K29" s="9"/>
      <c r="L29" s="8">
        <f>H29*I29</f>
        <v>0</v>
      </c>
      <c r="M29" s="10">
        <v>5.5E-2</v>
      </c>
      <c r="N29" s="39">
        <f t="shared" ref="N29:N30" si="6">(K29+L29)*(1+M29)</f>
        <v>0</v>
      </c>
    </row>
    <row r="30" spans="2:14" x14ac:dyDescent="0.2">
      <c r="B30" s="93" t="s">
        <v>27</v>
      </c>
      <c r="C30" s="94"/>
      <c r="D30" s="94"/>
      <c r="E30" s="94"/>
      <c r="F30" s="94"/>
      <c r="G30" s="95"/>
      <c r="H30" s="62">
        <f t="shared" si="5"/>
        <v>0</v>
      </c>
      <c r="I30" s="96">
        <v>0.16</v>
      </c>
      <c r="J30" s="96"/>
      <c r="K30" s="9"/>
      <c r="L30" s="8">
        <f>H30*I30</f>
        <v>0</v>
      </c>
      <c r="M30" s="10">
        <v>0.1</v>
      </c>
      <c r="N30" s="39">
        <f t="shared" si="6"/>
        <v>0</v>
      </c>
    </row>
    <row r="31" spans="2:14" ht="17" thickBot="1" x14ac:dyDescent="0.25">
      <c r="B31" s="146" t="s">
        <v>51</v>
      </c>
      <c r="C31" s="147"/>
      <c r="D31" s="147"/>
      <c r="E31" s="147"/>
      <c r="F31" s="147"/>
      <c r="G31" s="147"/>
      <c r="H31" s="70"/>
      <c r="I31" s="148"/>
      <c r="J31" s="148"/>
      <c r="K31" s="71"/>
      <c r="L31" s="72">
        <f>SUM(L29:L30)</f>
        <v>0</v>
      </c>
      <c r="M31" s="73"/>
      <c r="N31" s="74">
        <f>SUM(N29:N30)</f>
        <v>0</v>
      </c>
    </row>
    <row r="32" spans="2:14" ht="17" thickBot="1" x14ac:dyDescent="0.25">
      <c r="B32" s="90" t="s">
        <v>52</v>
      </c>
      <c r="C32" s="91"/>
      <c r="D32" s="91"/>
      <c r="E32" s="91"/>
      <c r="F32" s="91"/>
      <c r="G32" s="91"/>
      <c r="H32" s="65"/>
      <c r="I32" s="92"/>
      <c r="J32" s="92"/>
      <c r="K32" s="57">
        <f>K17+K27+K31</f>
        <v>0</v>
      </c>
      <c r="L32" s="57">
        <f>L17+L27+L31</f>
        <v>0</v>
      </c>
      <c r="M32" s="58"/>
      <c r="N32" s="59">
        <f>N17+N27+N31</f>
        <v>0</v>
      </c>
    </row>
    <row r="33" spans="2:7" ht="17" thickBot="1" x14ac:dyDescent="0.25"/>
    <row r="34" spans="2:7" x14ac:dyDescent="0.2">
      <c r="B34" s="12"/>
      <c r="C34" s="20" t="s">
        <v>28</v>
      </c>
      <c r="D34" s="21" t="s">
        <v>29</v>
      </c>
      <c r="E34" s="2" t="s">
        <v>60</v>
      </c>
      <c r="F34" t="s">
        <v>39</v>
      </c>
      <c r="G34" t="s">
        <v>40</v>
      </c>
    </row>
    <row r="35" spans="2:7" x14ac:dyDescent="0.2">
      <c r="B35" s="13" t="s">
        <v>1</v>
      </c>
      <c r="C35" s="14">
        <f>K12+SUM(L13:L15)+L16+K22+SUM(L23:L25)+K26+L29+L30</f>
        <v>0</v>
      </c>
      <c r="D35" s="19">
        <f>(K12+SUM(L13:L15)+L16+L29)*1.055+(K22+SUM(L23:L25)+K26+L30)*1.1</f>
        <v>0</v>
      </c>
      <c r="E35" s="41" t="str">
        <f>IF(D37&lt;&gt;0,D35/D37,"")</f>
        <v/>
      </c>
      <c r="F35" s="42">
        <f>IF(NbUH&lt;&gt;0,D35/NbUH,0)</f>
        <v>0</v>
      </c>
    </row>
    <row r="36" spans="2:7" x14ac:dyDescent="0.2">
      <c r="B36" s="13" t="s">
        <v>0</v>
      </c>
      <c r="C36" s="14">
        <f>K8+K9+K10+L11+K19+L20+K21</f>
        <v>0</v>
      </c>
      <c r="D36" s="19">
        <f>(K8+K9+K10+L11)*1.055+(K19+L20+K21)*1.1</f>
        <v>0</v>
      </c>
      <c r="E36" s="41" t="str">
        <f>IF(D37&lt;&gt;0,D36/D37,"")</f>
        <v/>
      </c>
      <c r="F36" s="42">
        <f>IF(NbUH&lt;&gt;0,D36/NbUH,0)</f>
        <v>0</v>
      </c>
    </row>
    <row r="37" spans="2:7" ht="17" thickBot="1" x14ac:dyDescent="0.25">
      <c r="B37" s="15" t="s">
        <v>59</v>
      </c>
      <c r="C37" s="16">
        <f>C35+C36</f>
        <v>0</v>
      </c>
      <c r="D37" s="17">
        <f>D35+D36</f>
        <v>0</v>
      </c>
      <c r="F37" s="42">
        <f>IF(NbUH&lt;&gt;0,D37/NbUH,0)</f>
        <v>0</v>
      </c>
      <c r="G37" s="42">
        <f>F37-'2022-2'!F33</f>
        <v>0</v>
      </c>
    </row>
  </sheetData>
  <mergeCells count="60">
    <mergeCell ref="D3:E3"/>
    <mergeCell ref="G4:I4"/>
    <mergeCell ref="J4:N4"/>
    <mergeCell ref="G5:I5"/>
    <mergeCell ref="J5:N5"/>
    <mergeCell ref="B6:G6"/>
    <mergeCell ref="I6:J6"/>
    <mergeCell ref="B7:G7"/>
    <mergeCell ref="I7:J7"/>
    <mergeCell ref="B8:G8"/>
    <mergeCell ref="I8:J8"/>
    <mergeCell ref="B9:G9"/>
    <mergeCell ref="I9:J9"/>
    <mergeCell ref="B11:G11"/>
    <mergeCell ref="I11:J11"/>
    <mergeCell ref="B12:G12"/>
    <mergeCell ref="I12:J12"/>
    <mergeCell ref="B13:G13"/>
    <mergeCell ref="I13:J13"/>
    <mergeCell ref="B16:G16"/>
    <mergeCell ref="I16:J16"/>
    <mergeCell ref="B17:G17"/>
    <mergeCell ref="I17:J17"/>
    <mergeCell ref="B14:G14"/>
    <mergeCell ref="I14:J14"/>
    <mergeCell ref="B15:G15"/>
    <mergeCell ref="I15:J15"/>
    <mergeCell ref="B18:G18"/>
    <mergeCell ref="I18:J18"/>
    <mergeCell ref="B19:G19"/>
    <mergeCell ref="I19:J19"/>
    <mergeCell ref="B20:G20"/>
    <mergeCell ref="I20:J20"/>
    <mergeCell ref="I28:J28"/>
    <mergeCell ref="B21:G21"/>
    <mergeCell ref="I21:J21"/>
    <mergeCell ref="B22:G22"/>
    <mergeCell ref="I22:J22"/>
    <mergeCell ref="B25:G25"/>
    <mergeCell ref="B23:G23"/>
    <mergeCell ref="I23:J23"/>
    <mergeCell ref="B24:G24"/>
    <mergeCell ref="I24:J24"/>
    <mergeCell ref="I25:J25"/>
    <mergeCell ref="B32:G32"/>
    <mergeCell ref="I32:J32"/>
    <mergeCell ref="C2:I2"/>
    <mergeCell ref="B10:G10"/>
    <mergeCell ref="I10:J10"/>
    <mergeCell ref="B29:G29"/>
    <mergeCell ref="I29:J29"/>
    <mergeCell ref="B30:G30"/>
    <mergeCell ref="I30:J30"/>
    <mergeCell ref="B31:G31"/>
    <mergeCell ref="I31:J31"/>
    <mergeCell ref="B26:G26"/>
    <mergeCell ref="I26:J26"/>
    <mergeCell ref="B27:H27"/>
    <mergeCell ref="I27:J27"/>
    <mergeCell ref="B28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Tableau de bord</vt:lpstr>
      <vt:lpstr>2022-1</vt:lpstr>
      <vt:lpstr>2022-2</vt:lpstr>
      <vt:lpstr>2022-1 modulation</vt:lpstr>
      <vt:lpstr>2022-2 modulation</vt:lpstr>
      <vt:lpstr>Consommation_2022_1</vt:lpstr>
      <vt:lpstr>Consommation_2022_2</vt:lpstr>
      <vt:lpstr>Copropriété</vt:lpstr>
      <vt:lpstr>NbUH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Helft</dc:creator>
  <cp:lastModifiedBy>Microsoft Office User</cp:lastModifiedBy>
  <dcterms:created xsi:type="dcterms:W3CDTF">2018-06-05T05:46:12Z</dcterms:created>
  <dcterms:modified xsi:type="dcterms:W3CDTF">2023-04-03T16:03:53Z</dcterms:modified>
</cp:coreProperties>
</file>